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7.xml.rels" ContentType="application/vnd.openxmlformats-package.relationships+xml"/>
  <Override PartName="/xl/worksheets/_rels/sheet6.xml.rels" ContentType="application/vnd.openxmlformats-package.relationships+xml"/>
  <Override PartName="/xl/worksheets/_rels/sheet5.xml.rels" ContentType="application/vnd.openxmlformats-package.relationship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7.xml.rels" ContentType="application/vnd.openxmlformats-package.relationships+xml"/>
  <Override PartName="/xl/drawings/_rels/drawing6.xml.rels" ContentType="application/vnd.openxmlformats-package.relationships+xml"/>
  <Override PartName="/xl/drawings/_rels/drawing5.xml.rels" ContentType="application/vnd.openxmlformats-package.relationships+xml"/>
  <Override PartName="/xl/drawings/_rels/drawing4.xml.rels" ContentType="application/vnd.openxmlformats-package.relationships+xml"/>
  <Override PartName="/xl/drawings/_rels/drawing3.xml.rels" ContentType="application/vnd.openxmlformats-package.relationship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_rels/workbook.xml.rels" ContentType="application/vnd.openxmlformats-package.relationships+xml"/>
  <Override PartName="/xl/media/image1.png" ContentType="image/png"/>
  <Override PartName="/xl/media/image2.png" ContentType="image/png"/>
  <Override PartName="/xl/media/image3.png" ContentType="image/png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6"/>
  </bookViews>
  <sheets>
    <sheet name="Instructions" sheetId="1" state="visible" r:id="rId3"/>
    <sheet name="Property Inputs" sheetId="2" state="visible" r:id="rId4"/>
    <sheet name="T-12 &amp; Rent Roll" sheetId="3" state="visible" r:id="rId5"/>
    <sheet name="DCF Projections" sheetId="4" state="visible" r:id="rId6"/>
    <sheet name="Sensitivity" sheetId="5" state="visible" r:id="rId7"/>
    <sheet name="Returns &amp; Risk" sheetId="6" state="visible" r:id="rId8"/>
    <sheet name="Dashboard" sheetId="7" state="visible" r:id="rId9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<sst xmlns="http://schemas.openxmlformats.org/spreadsheetml/2006/main" count="562" uniqueCount="388">
  <si>
    <t xml:space="preserve">AI Real Estate Underwriting Model</t>
  </si>
  <si>
    <t xml:space="preserve">Residential &amp; Commercial Property Analysis | IntelliTC Solutions</t>
  </si>
  <si>
    <t xml:space="preserve">Generated: April 09, 2026 | Version 1.0</t>
  </si>
  <si>
    <t xml:space="preserve">Sheet Index</t>
  </si>
  <si>
    <t xml:space="preserve">Sheet</t>
  </si>
  <si>
    <t xml:space="preserve">Description</t>
  </si>
  <si>
    <t xml:space="preserve">Action</t>
  </si>
  <si>
    <t xml:space="preserve">Instructions</t>
  </si>
  <si>
    <t xml:space="preserve">This page — overview, color legend, VBA setup guide</t>
  </si>
  <si>
    <t xml:space="preserve">View</t>
  </si>
  <si>
    <t xml:space="preserve">Property Inputs</t>
  </si>
  <si>
    <t xml:space="preserve">All property assumptions, financing, and deal parameters (EDIT HERE)</t>
  </si>
  <si>
    <t xml:space="preserve">Edit</t>
  </si>
  <si>
    <t xml:space="preserve">T-12 &amp; Rent Roll</t>
  </si>
  <si>
    <t xml:space="preserve">Trailing 12-month income/expense + unit-level rent roll</t>
  </si>
  <si>
    <t xml:space="preserve">DCF Projections</t>
  </si>
  <si>
    <t xml:space="preserve">10-year discounted cash flow with NOI, cash flow, and terminal value</t>
  </si>
  <si>
    <t xml:space="preserve">Sensitivity</t>
  </si>
  <si>
    <t xml:space="preserve">Cap rate sensitivity matrix (4%–8%) and scenario outputs</t>
  </si>
  <si>
    <t xml:space="preserve">Returns &amp; Risk</t>
  </si>
  <si>
    <t xml:space="preserve">IRR, equity multiple, DSCR, and Monte Carlo risk scoring</t>
  </si>
  <si>
    <t xml:space="preserve">Dashboard</t>
  </si>
  <si>
    <t xml:space="preserve">Executive summary with embedded charts</t>
  </si>
  <si>
    <t xml:space="preserve">Color Code Legend</t>
  </si>
  <si>
    <t xml:space="preserve">Blue Text</t>
  </si>
  <si>
    <t xml:space="preserve">Editable input — change these for your analysis</t>
  </si>
  <si>
    <t xml:space="preserve">Black Text</t>
  </si>
  <si>
    <t xml:space="preserve">Formula / calculated value — do not overwrite</t>
  </si>
  <si>
    <t xml:space="preserve">Green Text</t>
  </si>
  <si>
    <t xml:space="preserve">Cross-sheet link — pulls data from another tab</t>
  </si>
  <si>
    <t xml:space="preserve">Yellow Background</t>
  </si>
  <si>
    <t xml:space="preserve">Key assumption requiring your attention</t>
  </si>
  <si>
    <t xml:space="preserve">How to Use This Workbook</t>
  </si>
  <si>
    <t xml:space="preserve">1. Start on the 'Property Inputs' sheet — enter your deal assumptions (purchase price, financing, growth rates).</t>
  </si>
  <si>
    <t xml:space="preserve">2. Fill in the 'T-12 &amp; Rent Roll' sheet with actual or estimated trailing 12-month income/expenses and unit data.</t>
  </si>
  <si>
    <t xml:space="preserve">3. The 'DCF Projections' sheet auto-calculates 10-year cash flows based on your inputs.</t>
  </si>
  <si>
    <t xml:space="preserve">4. Review the 'Sensitivity' sheet to see how value changes across cap rates from 4% to 8%.</t>
  </si>
  <si>
    <t xml:space="preserve">5. Check 'Returns &amp; Risk' for IRR, equity multiple, DSCR analysis, and Monte Carlo risk scores.</t>
  </si>
  <si>
    <t xml:space="preserve">6. The 'Dashboard' provides an executive summary with charts for presentations/lenders.</t>
  </si>
  <si>
    <t xml:space="preserve">7. For scenario analysis: use the VBA macros (see setup below) or manually adjust inputs.</t>
  </si>
  <si>
    <t xml:space="preserve">VBA Macro Setup Guide (Scenario What-Ifs)</t>
  </si>
  <si>
    <t xml:space="preserve">To enable scenario macros, save this file as .xlsm (Macro-Enabled Workbook), then:</t>
  </si>
  <si>
    <t xml:space="preserve">1. Press Alt+F11 to open the VBA Editor.</t>
  </si>
  <si>
    <t xml:space="preserve">2. Insert &gt; Module, then paste the VBA code from the 'VBA_Code' text below.</t>
  </si>
  <si>
    <t xml:space="preserve">3. Close the VBA editor and use the scenario buttons from the Developer tab.</t>
  </si>
  <si>
    <t xml:space="preserve">VBA Code — Copy the following into a new module:</t>
  </si>
  <si>
    <t xml:space="preserve">─────────────────────────────────────────────────────</t>
  </si>
  <si>
    <t xml:space="preserve">Sub RunScenario_BestCase()</t>
  </si>
  <si>
    <t xml:space="preserve">    Dim ws As Worksheet</t>
  </si>
  <si>
    <t xml:space="preserve">    Set ws = ThisWorkbook.Sheets("Property Inputs")</t>
  </si>
  <si>
    <t xml:space="preserve">    ' Store original values</t>
  </si>
  <si>
    <t xml:space="preserve">    ws.Range("C16").Value = 0.03  ' Rent Growth = 3%</t>
  </si>
  <si>
    <t xml:space="preserve">    ws.Range("C17").Value = 0.02  ' Expense Growth = 2%</t>
  </si>
  <si>
    <t xml:space="preserve">    ws.Range("C18").Value = 0.05  ' Exit Cap = 5%</t>
  </si>
  <si>
    <t xml:space="preserve">    ws.Range("C30").Value = 0.04  ' Interest Rate = 4%</t>
  </si>
  <si>
    <t xml:space="preserve">    Application.Calculate</t>
  </si>
  <si>
    <t xml:space="preserve">    MsgBox "Best Case scenario applied. Review DCF and Returns sheets."</t>
  </si>
  <si>
    <t xml:space="preserve">End Sub</t>
  </si>
  <si>
    <t xml:space="preserve">Sub RunScenario_WorstCase()</t>
  </si>
  <si>
    <t xml:space="preserve">    ws.Range("C16").Value = 0.005 ' Rent Growth = 0.5%</t>
  </si>
  <si>
    <t xml:space="preserve">    ws.Range("C17").Value = 0.04  ' Expense Growth = 4%</t>
  </si>
  <si>
    <t xml:space="preserve">    ws.Range("C18").Value = 0.08  ' Exit Cap = 8%</t>
  </si>
  <si>
    <t xml:space="preserve">    ws.Range("C30").Value = 0.07  ' Interest Rate = 7%</t>
  </si>
  <si>
    <t xml:space="preserve">    MsgBox "Worst Case scenario applied. Review DCF and Returns sheets."</t>
  </si>
  <si>
    <t xml:space="preserve">Sub RunScenario_BaseCase()</t>
  </si>
  <si>
    <t xml:space="preserve">    ws.Range("C16").Value = 0.02  ' Rent Growth = 2%</t>
  </si>
  <si>
    <t xml:space="preserve">    ws.Range("C17").Value = 0.03  ' Expense Growth = 3%</t>
  </si>
  <si>
    <t xml:space="preserve">    ws.Range("C18").Value = 0.065 ' Exit Cap = 6.5%</t>
  </si>
  <si>
    <t xml:space="preserve">    ws.Range("C30").Value = 0.055 ' Interest Rate = 5.5%</t>
  </si>
  <si>
    <t xml:space="preserve">    MsgBox "Base Case scenario applied. Review DCF and Returns sheets."</t>
  </si>
  <si>
    <t xml:space="preserve">Sub RunMonteCarloSimulation()</t>
  </si>
  <si>
    <t xml:space="preserve">    Dim ws As Worksheet, wsRisk As Worksheet</t>
  </si>
  <si>
    <t xml:space="preserve">    Set wsRisk = ThisWorkbook.Sheets("Returns &amp; Risk")</t>
  </si>
  <si>
    <t xml:space="preserve">    Dim i As Long, simCount As Long</t>
  </si>
  <si>
    <t xml:space="preserve">    simCount = 1000</t>
  </si>
  <si>
    <t xml:space="preserve">    Dim results() As Double</t>
  </si>
  <si>
    <t xml:space="preserve">    ReDim results(1 To simCount)</t>
  </si>
  <si>
    <t xml:space="preserve">    </t>
  </si>
  <si>
    <t xml:space="preserve">    Dim origRentGrowth As Double, origExpGrowth As Double</t>
  </si>
  <si>
    <t xml:space="preserve">    Dim origExitCap As Double, origIntRate As Double</t>
  </si>
  <si>
    <t xml:space="preserve">    origRentGrowth = ws.Range("C16").Value</t>
  </si>
  <si>
    <t xml:space="preserve">    origExpGrowth = ws.Range("C17").Value</t>
  </si>
  <si>
    <t xml:space="preserve">    origExitCap = ws.Range("C18").Value</t>
  </si>
  <si>
    <t xml:space="preserve">    origIntRate = ws.Range("C30").Value</t>
  </si>
  <si>
    <t xml:space="preserve">    Application.ScreenUpdating = False</t>
  </si>
  <si>
    <t xml:space="preserve">    For i = 1 To simCount</t>
  </si>
  <si>
    <t xml:space="preserve">        ' Randomize within ranges</t>
  </si>
  <si>
    <t xml:space="preserve">        ws.Range("C16").Value = origRentGrowth + (Rnd - 0.5) * 0.04</t>
  </si>
  <si>
    <t xml:space="preserve">        ws.Range("C17").Value = origExpGrowth + (Rnd - 0.5) * 0.03</t>
  </si>
  <si>
    <t xml:space="preserve">        ws.Range("C18").Value = origExitCap + (Rnd - 0.5) * 0.03</t>
  </si>
  <si>
    <t xml:space="preserve">        ws.Range("C30").Value = origIntRate + (Rnd - 0.5) * 0.03</t>
  </si>
  <si>
    <t xml:space="preserve">        Application.Calculate</t>
  </si>
  <si>
    <t xml:space="preserve">        ' Capture IRR from Returns sheet</t>
  </si>
  <si>
    <t xml:space="preserve">        results(i) = wsRisk.Range("C9").Value</t>
  </si>
  <si>
    <t xml:space="preserve">    Next i</t>
  </si>
  <si>
    <t xml:space="preserve">    ' Restore original values</t>
  </si>
  <si>
    <t xml:space="preserve">    ws.Range("C16").Value = origRentGrowth</t>
  </si>
  <si>
    <t xml:space="preserve">    ws.Range("C17").Value = origExpGrowth</t>
  </si>
  <si>
    <t xml:space="preserve">    ws.Range("C18").Value = origExitCap</t>
  </si>
  <si>
    <t xml:space="preserve">    ws.Range("C30").Value = origIntRate</t>
  </si>
  <si>
    <t xml:space="preserve">    Application.ScreenUpdating = True</t>
  </si>
  <si>
    <t xml:space="preserve">    ' Output results to Monte Carlo area</t>
  </si>
  <si>
    <t xml:space="preserve">    Dim outRow As Long</t>
  </si>
  <si>
    <t xml:space="preserve">    outRow = 30</t>
  </si>
  <si>
    <t xml:space="preserve">    For i = 1 To WorksheetFunction.Min(simCount, 100)</t>
  </si>
  <si>
    <t xml:space="preserve">        wsRisk.Cells(outRow + i, 7).Value = i</t>
  </si>
  <si>
    <t xml:space="preserve">        wsRisk.Cells(outRow + i, 8).Value = results(i)</t>
  </si>
  <si>
    <t xml:space="preserve">    MsgBox "Monte Carlo simulation complete (" &amp; simCount &amp; " iterations)."</t>
  </si>
  <si>
    <t xml:space="preserve">© IntelliTC Solutions | intellitcsolutions.com</t>
  </si>
  <si>
    <t xml:space="preserve">Property Inputs &amp; Deal Assumptions</t>
  </si>
  <si>
    <t xml:space="preserve">Blue cells are editable inputs. Yellow highlights = key assumptions.</t>
  </si>
  <si>
    <t xml:space="preserve">Property Details</t>
  </si>
  <si>
    <t xml:space="preserve">Sensitivity Parameters</t>
  </si>
  <si>
    <t xml:space="preserve">Property Name</t>
  </si>
  <si>
    <t xml:space="preserve">Sample Mixed-Use Property</t>
  </si>
  <si>
    <t xml:space="preserve">Cap Rate - Low</t>
  </si>
  <si>
    <t xml:space="preserve">Property Type</t>
  </si>
  <si>
    <t xml:space="preserve">Multifamily / Commercial</t>
  </si>
  <si>
    <t xml:space="preserve">Cap Rate - High</t>
  </si>
  <si>
    <t xml:space="preserve">Address</t>
  </si>
  <si>
    <t xml:space="preserve">123 Main Street, Anytown, USA</t>
  </si>
  <si>
    <t xml:space="preserve">Cap Rate - Step</t>
  </si>
  <si>
    <t xml:space="preserve">Number of Units</t>
  </si>
  <si>
    <t xml:space="preserve">Rent Growth - Low</t>
  </si>
  <si>
    <t xml:space="preserve">Total Rentable SF</t>
  </si>
  <si>
    <t xml:space="preserve">Rent Growth - High</t>
  </si>
  <si>
    <t xml:space="preserve">Year Built</t>
  </si>
  <si>
    <t xml:space="preserve">Expense Growth - Low</t>
  </si>
  <si>
    <t xml:space="preserve">Lot Size (Acres)</t>
  </si>
  <si>
    <t xml:space="preserve">Expense Growth - High</t>
  </si>
  <si>
    <t xml:space="preserve">Financial Assumptions</t>
  </si>
  <si>
    <t xml:space="preserve">Monte Carlo Parameters</t>
  </si>
  <si>
    <t xml:space="preserve">Purchase Price</t>
  </si>
  <si>
    <t xml:space="preserve">Number of Simulations</t>
  </si>
  <si>
    <t xml:space="preserve">Annual Rent Growth Rate</t>
  </si>
  <si>
    <t xml:space="preserve">Rent Growth Std Dev</t>
  </si>
  <si>
    <t xml:space="preserve">Annual Expense Growth Rate</t>
  </si>
  <si>
    <t xml:space="preserve">Expense Growth Std Dev</t>
  </si>
  <si>
    <t xml:space="preserve">Exit Cap Rate (Reversion)</t>
  </si>
  <si>
    <t xml:space="preserve">Exit Cap Std Dev</t>
  </si>
  <si>
    <t xml:space="preserve">Going-In Cap Rate</t>
  </si>
  <si>
    <t xml:space="preserve">Interest Rate Std Dev</t>
  </si>
  <si>
    <t xml:space="preserve">Vacancy &amp; Credit Loss (%)</t>
  </si>
  <si>
    <t xml:space="preserve">Management Fee (% of EGI)</t>
  </si>
  <si>
    <t xml:space="preserve">Capital Reserves ($/unit/yr)</t>
  </si>
  <si>
    <t xml:space="preserve">Closing Costs (% of Price)</t>
  </si>
  <si>
    <t xml:space="preserve">Renovation / CapEx Budget</t>
  </si>
  <si>
    <t xml:space="preserve">Discount Rate (for NPV)</t>
  </si>
  <si>
    <t xml:space="preserve">Holding Period (Years)</t>
  </si>
  <si>
    <t xml:space="preserve">Financing Terms</t>
  </si>
  <si>
    <t xml:space="preserve">Loan-to-Value (LTV)</t>
  </si>
  <si>
    <t xml:space="preserve">Interest Rate</t>
  </si>
  <si>
    <t xml:space="preserve">Amortization Period (Years)</t>
  </si>
  <si>
    <t xml:space="preserve">Loan Term (Years)</t>
  </si>
  <si>
    <t xml:space="preserve">Interest-Only Period (Years)</t>
  </si>
  <si>
    <t xml:space="preserve">Calculated Financing Summary</t>
  </si>
  <si>
    <t xml:space="preserve">Loan Amount</t>
  </si>
  <si>
    <t xml:space="preserve">Equity Required</t>
  </si>
  <si>
    <t xml:space="preserve">Total Project Cost</t>
  </si>
  <si>
    <t xml:space="preserve">Monthly Mortgage Payment (P&amp;I)</t>
  </si>
  <si>
    <t xml:space="preserve">Annual Debt Service</t>
  </si>
  <si>
    <t xml:space="preserve">Trailing 12-Month Income &amp; Expense Statement (T-12)</t>
  </si>
  <si>
    <t xml:space="preserve">Enter actual or estimated monthly data. Annual totals auto-calculate.</t>
  </si>
  <si>
    <t xml:space="preserve">Line Item</t>
  </si>
  <si>
    <t xml:space="preserve">Jan</t>
  </si>
  <si>
    <t xml:space="preserve">Feb</t>
  </si>
  <si>
    <t xml:space="preserve">Mar</t>
  </si>
  <si>
    <t xml:space="preserve">Apr</t>
  </si>
  <si>
    <t xml:space="preserve">May</t>
  </si>
  <si>
    <t xml:space="preserve">Jun</t>
  </si>
  <si>
    <t xml:space="preserve">Jul</t>
  </si>
  <si>
    <t xml:space="preserve">Aug</t>
  </si>
  <si>
    <t xml:space="preserve">Sep</t>
  </si>
  <si>
    <t xml:space="preserve">Oct</t>
  </si>
  <si>
    <t xml:space="preserve">Nov</t>
  </si>
  <si>
    <t xml:space="preserve">Dec</t>
  </si>
  <si>
    <t xml:space="preserve">Annual Total</t>
  </si>
  <si>
    <t xml:space="preserve">INCOME</t>
  </si>
  <si>
    <t xml:space="preserve">Gross Rental Income</t>
  </si>
  <si>
    <t xml:space="preserve">Other Income (Parking, Laundry)</t>
  </si>
  <si>
    <t xml:space="preserve">Late Fees &amp; Misc</t>
  </si>
  <si>
    <t xml:space="preserve">Gross Potential Income (GPI)</t>
  </si>
  <si>
    <t xml:space="preserve">Less: Vacancy &amp; Credit Loss</t>
  </si>
  <si>
    <t xml:space="preserve">Effective Gross Income (EGI)</t>
  </si>
  <si>
    <t xml:space="preserve">OPERATING EXPENSES</t>
  </si>
  <si>
    <t xml:space="preserve">Property Management</t>
  </si>
  <si>
    <t xml:space="preserve">Property Taxes</t>
  </si>
  <si>
    <t xml:space="preserve">Insurance</t>
  </si>
  <si>
    <t xml:space="preserve">Utilities</t>
  </si>
  <si>
    <t xml:space="preserve">Repairs &amp; Maintenance</t>
  </si>
  <si>
    <t xml:space="preserve">Landscaping &amp; Snow</t>
  </si>
  <si>
    <t xml:space="preserve">Legal &amp; Accounting</t>
  </si>
  <si>
    <t xml:space="preserve">Administrative</t>
  </si>
  <si>
    <t xml:space="preserve">Marketing &amp; Advertising</t>
  </si>
  <si>
    <t xml:space="preserve">Total Operating Expenses</t>
  </si>
  <si>
    <t xml:space="preserve">Net Operating Income (NOI)</t>
  </si>
  <si>
    <t xml:space="preserve">Operating Expense Ratio</t>
  </si>
  <si>
    <t xml:space="preserve">Rent Roll — Unit Detail</t>
  </si>
  <si>
    <t xml:space="preserve">Unit #</t>
  </si>
  <si>
    <t xml:space="preserve">Unit Type</t>
  </si>
  <si>
    <t xml:space="preserve">Sq Ft</t>
  </si>
  <si>
    <t xml:space="preserve">Bedrooms</t>
  </si>
  <si>
    <t xml:space="preserve">Bathrooms</t>
  </si>
  <si>
    <t xml:space="preserve">Status</t>
  </si>
  <si>
    <t xml:space="preserve">Market Rent</t>
  </si>
  <si>
    <t xml:space="preserve">In-Place Rent</t>
  </si>
  <si>
    <t xml:space="preserve">Lease Start</t>
  </si>
  <si>
    <t xml:space="preserve">Lease End</t>
  </si>
  <si>
    <t xml:space="preserve">Rent Premium/(Discount)</t>
  </si>
  <si>
    <t xml:space="preserve">Annual Rent</t>
  </si>
  <si>
    <t xml:space="preserve">001</t>
  </si>
  <si>
    <t xml:space="preserve">Studio</t>
  </si>
  <si>
    <t xml:space="preserve">Occupied</t>
  </si>
  <si>
    <t xml:space="preserve">01/01/2025</t>
  </si>
  <si>
    <t xml:space="preserve">12/31/2025</t>
  </si>
  <si>
    <t xml:space="preserve">002</t>
  </si>
  <si>
    <t xml:space="preserve">003</t>
  </si>
  <si>
    <t xml:space="preserve">004</t>
  </si>
  <si>
    <t xml:space="preserve">005</t>
  </si>
  <si>
    <t xml:space="preserve">1BR/1BA</t>
  </si>
  <si>
    <t xml:space="preserve">Vacant</t>
  </si>
  <si>
    <t xml:space="preserve">006</t>
  </si>
  <si>
    <t xml:space="preserve">007</t>
  </si>
  <si>
    <t xml:space="preserve">008</t>
  </si>
  <si>
    <t xml:space="preserve">009</t>
  </si>
  <si>
    <t xml:space="preserve">010</t>
  </si>
  <si>
    <t xml:space="preserve">011</t>
  </si>
  <si>
    <t xml:space="preserve">2BR/1BA</t>
  </si>
  <si>
    <t xml:space="preserve">012</t>
  </si>
  <si>
    <t xml:space="preserve">013</t>
  </si>
  <si>
    <t xml:space="preserve">014</t>
  </si>
  <si>
    <t xml:space="preserve">015</t>
  </si>
  <si>
    <t xml:space="preserve">016</t>
  </si>
  <si>
    <t xml:space="preserve">017</t>
  </si>
  <si>
    <t xml:space="preserve">2BR/2BA</t>
  </si>
  <si>
    <t xml:space="preserve">018</t>
  </si>
  <si>
    <t xml:space="preserve">019</t>
  </si>
  <si>
    <t xml:space="preserve">3BR/2BA</t>
  </si>
  <si>
    <t xml:space="preserve">020</t>
  </si>
  <si>
    <t xml:space="preserve">TOTALS</t>
  </si>
  <si>
    <t xml:space="preserve">10-Year Discounted Cash Flow Projections</t>
  </si>
  <si>
    <t xml:space="preserve">All projections linked to Property Inputs. Adjust assumptions to update automatically.</t>
  </si>
  <si>
    <t xml:space="preserve">Metric</t>
  </si>
  <si>
    <t xml:space="preserve">Year 0</t>
  </si>
  <si>
    <t xml:space="preserve">Year 1</t>
  </si>
  <si>
    <t xml:space="preserve">Year 2</t>
  </si>
  <si>
    <t xml:space="preserve">Year 3</t>
  </si>
  <si>
    <t xml:space="preserve">Year 4</t>
  </si>
  <si>
    <t xml:space="preserve">Year 5</t>
  </si>
  <si>
    <t xml:space="preserve">Year 6</t>
  </si>
  <si>
    <t xml:space="preserve">Year 7</t>
  </si>
  <si>
    <t xml:space="preserve">Year 8</t>
  </si>
  <si>
    <t xml:space="preserve">Year 9</t>
  </si>
  <si>
    <t xml:space="preserve">Year 10</t>
  </si>
  <si>
    <t xml:space="preserve">REVENUE PROJECTION</t>
  </si>
  <si>
    <t xml:space="preserve">Gross Potential Rent</t>
  </si>
  <si>
    <t xml:space="preserve">Other Income</t>
  </si>
  <si>
    <t xml:space="preserve">Gross Potential Income</t>
  </si>
  <si>
    <t xml:space="preserve">Property Management (% of EGI)</t>
  </si>
  <si>
    <t xml:space="preserve">Landscaping</t>
  </si>
  <si>
    <t xml:space="preserve">Marketing</t>
  </si>
  <si>
    <t xml:space="preserve">Capital Reserves</t>
  </si>
  <si>
    <t xml:space="preserve">NET OPERATING INCOME</t>
  </si>
  <si>
    <t xml:space="preserve">DEBT SERVICE &amp; CASH FLOW</t>
  </si>
  <si>
    <t xml:space="preserve">Before-Tax Cash Flow (BTCF)</t>
  </si>
  <si>
    <t xml:space="preserve">Debt Service Coverage Ratio</t>
  </si>
  <si>
    <t xml:space="preserve">Cash-on-Cash Return</t>
  </si>
  <si>
    <t xml:space="preserve">REVERSION ANALYSIS (Exit Year 10)</t>
  </si>
  <si>
    <t xml:space="preserve">Year 11 Projected NOI</t>
  </si>
  <si>
    <t xml:space="preserve">Exit Cap Rate</t>
  </si>
  <si>
    <t xml:space="preserve">Gross Sale Price</t>
  </si>
  <si>
    <t xml:space="preserve">Less: Selling Costs (2%)</t>
  </si>
  <si>
    <t xml:space="preserve">Net Sale Proceeds</t>
  </si>
  <si>
    <t xml:space="preserve">DISCOUNTED CASH FLOW SUMMARY</t>
  </si>
  <si>
    <t xml:space="preserve">Initial Equity Investment</t>
  </si>
  <si>
    <t xml:space="preserve">Net Cash Flow (for IRR)</t>
  </si>
  <si>
    <t xml:space="preserve">Leveraged IRR</t>
  </si>
  <si>
    <t xml:space="preserve">Net Present Value (NPV)</t>
  </si>
  <si>
    <t xml:space="preserve">Equity Multiple</t>
  </si>
  <si>
    <t xml:space="preserve">Sensitivity Analysis — Cap Rate &amp; Growth Scenarios</t>
  </si>
  <si>
    <t xml:space="preserve">Matrix shows property value and key metrics across cap rate and rent growth assumptions.</t>
  </si>
  <si>
    <t xml:space="preserve">Property Value by Cap Rate (Based on Year 1 NOI)</t>
  </si>
  <si>
    <t xml:space="preserve">Cap Rate</t>
  </si>
  <si>
    <t xml:space="preserve">Implied Value</t>
  </si>
  <si>
    <t xml:space="preserve">Value per Unit</t>
  </si>
  <si>
    <t xml:space="preserve">4.0%</t>
  </si>
  <si>
    <t xml:space="preserve">4.5%</t>
  </si>
  <si>
    <t xml:space="preserve">5.0%</t>
  </si>
  <si>
    <t xml:space="preserve">5.5%</t>
  </si>
  <si>
    <t xml:space="preserve">6.0%</t>
  </si>
  <si>
    <t xml:space="preserve">6.5%</t>
  </si>
  <si>
    <t xml:space="preserve">7.0%</t>
  </si>
  <si>
    <t xml:space="preserve">7.5%</t>
  </si>
  <si>
    <t xml:space="preserve">8.0%</t>
  </si>
  <si>
    <t xml:space="preserve">Two-Way Sensitivity: Exit Value by Cap Rate × Rent Growth</t>
  </si>
  <si>
    <t xml:space="preserve">Cap Rate \ Rent Growth</t>
  </si>
  <si>
    <t xml:space="preserve">0%</t>
  </si>
  <si>
    <t xml:space="preserve">1%</t>
  </si>
  <si>
    <t xml:space="preserve">2%</t>
  </si>
  <si>
    <t xml:space="preserve">3%</t>
  </si>
  <si>
    <t xml:space="preserve">4%</t>
  </si>
  <si>
    <t xml:space="preserve">IRR Sensitivity by Exit Cap Rate</t>
  </si>
  <si>
    <t xml:space="preserve">Exit Value</t>
  </si>
  <si>
    <t xml:space="preserve">Est. Total Return</t>
  </si>
  <si>
    <t xml:space="preserve">Returns Analysis &amp; Risk Scoring</t>
  </si>
  <si>
    <t xml:space="preserve">Key return metrics and Monte Carlo risk assessment.</t>
  </si>
  <si>
    <t xml:space="preserve">Key Return Metrics</t>
  </si>
  <si>
    <t xml:space="preserve">Value</t>
  </si>
  <si>
    <t xml:space="preserve">Benchmark</t>
  </si>
  <si>
    <t xml:space="preserve">5.0% - 7.0%</t>
  </si>
  <si>
    <t xml:space="preserve">Cash-on-Cash Return (Yr 1)</t>
  </si>
  <si>
    <t xml:space="preserve">6.0% - 10.0%</t>
  </si>
  <si>
    <t xml:space="preserve">&gt; 12.0%</t>
  </si>
  <si>
    <t xml:space="preserve">Net Present Value</t>
  </si>
  <si>
    <t xml:space="preserve">&gt; $0</t>
  </si>
  <si>
    <t xml:space="preserve">&gt; 2.0x</t>
  </si>
  <si>
    <t xml:space="preserve">Avg DSCR (Yr 1-10)</t>
  </si>
  <si>
    <t xml:space="preserve">&gt; 1.25x</t>
  </si>
  <si>
    <t xml:space="preserve">NOI Yield (Year 1)</t>
  </si>
  <si>
    <t xml:space="preserve">5.0% - 8.0%</t>
  </si>
  <si>
    <t xml:space="preserve">Break-Even Occupancy</t>
  </si>
  <si>
    <t xml:space="preserve">&lt; 85%</t>
  </si>
  <si>
    <t xml:space="preserve">DSCR Trend (Year 1-10)</t>
  </si>
  <si>
    <t xml:space="preserve">Year</t>
  </si>
  <si>
    <t xml:space="preserve">Yr 1</t>
  </si>
  <si>
    <t xml:space="preserve">Yr 2</t>
  </si>
  <si>
    <t xml:space="preserve">Yr 3</t>
  </si>
  <si>
    <t xml:space="preserve">Yr 4</t>
  </si>
  <si>
    <t xml:space="preserve">Yr 5</t>
  </si>
  <si>
    <t xml:space="preserve">Yr 6</t>
  </si>
  <si>
    <t xml:space="preserve">Yr 7</t>
  </si>
  <si>
    <t xml:space="preserve">Yr 8</t>
  </si>
  <si>
    <t xml:space="preserve">Yr 9</t>
  </si>
  <si>
    <t xml:space="preserve">Yr 10</t>
  </si>
  <si>
    <t xml:space="preserve">DSCR</t>
  </si>
  <si>
    <t xml:space="preserve">BTCF</t>
  </si>
  <si>
    <t xml:space="preserve">Monte Carlo Risk Assessment</t>
  </si>
  <si>
    <t xml:space="preserve">Pre-computed simulation results (1,000 iterations). For live simulation, use the VBA macro.</t>
  </si>
  <si>
    <t xml:space="preserve">Simulation Metric</t>
  </si>
  <si>
    <t xml:space="preserve">Mean</t>
  </si>
  <si>
    <t xml:space="preserve">5th Pctl</t>
  </si>
  <si>
    <t xml:space="preserve">Median</t>
  </si>
  <si>
    <t xml:space="preserve">Threshold</t>
  </si>
  <si>
    <t xml:space="preserve">Probability</t>
  </si>
  <si>
    <t xml:space="preserve">Assessment</t>
  </si>
  <si>
    <t xml:space="preserve">IRR &gt;= 12%</t>
  </si>
  <si>
    <t xml:space="preserve">Weak</t>
  </si>
  <si>
    <t xml:space="preserve">IRR &gt;= 15%</t>
  </si>
  <si>
    <t xml:space="preserve">Equity Multiple &gt;= 2.0x</t>
  </si>
  <si>
    <t xml:space="preserve">Overall Risk Score</t>
  </si>
  <si>
    <t xml:space="preserve">Composite Risk Score (0-100)</t>
  </si>
  <si>
    <t xml:space="preserve">Higher = Lower Risk</t>
  </si>
  <si>
    <t xml:space="preserve">0-30: HIGH RISK — Significant downside exposure. Reconsider assumptions or deal structure.</t>
  </si>
  <si>
    <t xml:space="preserve">31-60: MODERATE RISK — Acceptable with strong management. Monitor key variables closely.</t>
  </si>
  <si>
    <t xml:space="preserve">61-80: LOW-MODERATE RISK — Solid deal profile. Standard due diligence recommended.</t>
  </si>
  <si>
    <t xml:space="preserve">81-100: LOW RISK — Strong risk-adjusted returns. Proceed with confidence.</t>
  </si>
  <si>
    <t xml:space="preserve">IRR Distribution (Monte Carlo)</t>
  </si>
  <si>
    <t xml:space="preserve">IRR Range</t>
  </si>
  <si>
    <t xml:space="preserve">Frequency</t>
  </si>
  <si>
    <t xml:space="preserve">&lt; 5%</t>
  </si>
  <si>
    <t xml:space="preserve">5% - 8%</t>
  </si>
  <si>
    <t xml:space="preserve">8% - 10%</t>
  </si>
  <si>
    <t xml:space="preserve">10% - 12%</t>
  </si>
  <si>
    <t xml:space="preserve">12% - 15%</t>
  </si>
  <si>
    <t xml:space="preserve">15% - 20%</t>
  </si>
  <si>
    <t xml:space="preserve">&gt; 20%</t>
  </si>
  <si>
    <t xml:space="preserve">Executive Dashboard — Investment Summary</t>
  </si>
  <si>
    <t xml:space="preserve">AI-Powered Underwriting Model | IntelliTC Solutions</t>
  </si>
  <si>
    <t xml:space="preserve">Key Performance Indicators</t>
  </si>
  <si>
    <t xml:space="preserve">Year 1 NOI</t>
  </si>
  <si>
    <t xml:space="preserve">Going-In Cap</t>
  </si>
  <si>
    <t xml:space="preserve">Risk Score</t>
  </si>
  <si>
    <t xml:space="preserve">NOI Projection — 10 Year</t>
  </si>
  <si>
    <t xml:space="preserve">NOI</t>
  </si>
  <si>
    <t xml:space="preserve">DSCR Trend — 10 Year</t>
  </si>
  <si>
    <t xml:space="preserve">Minimum (1.25x)</t>
  </si>
  <si>
    <t xml:space="preserve">Scenario Comparison (Use VBA Macros to Auto-Fill)</t>
  </si>
  <si>
    <t xml:space="preserve">Base Case</t>
  </si>
  <si>
    <t xml:space="preserve">Best Case</t>
  </si>
  <si>
    <t xml:space="preserve">Worst Case</t>
  </si>
  <si>
    <t xml:space="preserve">Your Scenario</t>
  </si>
  <si>
    <t xml:space="preserve">Rent Growth</t>
  </si>
  <si>
    <t xml:space="preserve">2.0%</t>
  </si>
  <si>
    <t xml:space="preserve">3.0%</t>
  </si>
  <si>
    <t xml:space="preserve">0.5%</t>
  </si>
  <si>
    <t xml:space="preserve">Expense Growth</t>
  </si>
  <si>
    <t xml:space="preserve">NPV</t>
  </si>
  <si>
    <t xml:space="preserve">Generated by IntelliTC Solutions AI Underwriting Engine | April 09, 2026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</si>
</sst>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0.0%"/>
    <numFmt numFmtId="166" formatCode="#,##0"/>
    <numFmt numFmtId="167" formatCode="0"/>
    <numFmt numFmtId="168" formatCode="0.00"/>
    <numFmt numFmtId="169" formatCode="\$#,##0;&quot;($&quot;#,##0\);\-"/>
    <numFmt numFmtId="170" formatCode="\$#,##0.00;&quot;($&quot;#,##0.00\);\-"/>
    <numFmt numFmtId="171" formatCode="0.00\x"/>
    <numFmt numFmtId="172" formatCode="0.00%"/>
    <numFmt numFmtId="173" formatCode="\$#,##0"/>
  </numFmts>
  <fonts count="29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4"/>
      <color rgb="FF0C4E54"/>
      <name val="Calibri"/>
      <family val="0"/>
      <charset val="1"/>
    </font>
    <font>
      <sz val="14"/>
      <color rgb="FF7A7974"/>
      <name val="Calibri"/>
      <family val="0"/>
      <charset val="1"/>
    </font>
    <font>
      <sz val="9"/>
      <color rgb="FF7A7974"/>
      <name val="Calibri"/>
      <family val="0"/>
      <charset val="1"/>
    </font>
    <font>
      <b val="true"/>
      <sz val="13"/>
      <color rgb="FF0C4E54"/>
      <name val="Calibri"/>
      <family val="0"/>
      <charset val="1"/>
    </font>
    <font>
      <b val="true"/>
      <sz val="11"/>
      <color rgb="FFFFFFFF"/>
      <name val="Calibri"/>
      <family val="0"/>
      <charset val="1"/>
    </font>
    <font>
      <u val="single"/>
      <sz val="11"/>
      <color rgb="FF0000FF"/>
      <name val="Calibri"/>
      <family val="0"/>
      <charset val="1"/>
    </font>
    <font>
      <sz val="11"/>
      <color rgb="FF28251D"/>
      <name val="Calibri"/>
      <family val="0"/>
      <charset val="1"/>
    </font>
    <font>
      <b val="true"/>
      <sz val="11"/>
      <color rgb="FF0000FF"/>
      <name val="Calibri"/>
      <family val="0"/>
      <charset val="1"/>
    </font>
    <font>
      <b val="true"/>
      <sz val="11"/>
      <color rgb="FF000000"/>
      <name val="Calibri"/>
      <family val="0"/>
      <charset val="1"/>
    </font>
    <font>
      <b val="true"/>
      <sz val="11"/>
      <color rgb="FF008000"/>
      <name val="Calibri"/>
      <family val="0"/>
      <charset val="1"/>
    </font>
    <font>
      <sz val="9"/>
      <color rgb="FF333333"/>
      <name val="Consolas"/>
      <family val="0"/>
      <charset val="1"/>
    </font>
    <font>
      <b val="true"/>
      <sz val="20"/>
      <color rgb="FF0C4E54"/>
      <name val="Calibri"/>
      <family val="0"/>
      <charset val="1"/>
    </font>
    <font>
      <sz val="11"/>
      <color rgb="FF0000FF"/>
      <name val="Calibri"/>
      <family val="0"/>
      <charset val="1"/>
    </font>
    <font>
      <sz val="11"/>
      <color rgb="FF000000"/>
      <name val="Calibri"/>
      <family val="0"/>
      <charset val="1"/>
    </font>
    <font>
      <b val="true"/>
      <sz val="12"/>
      <color rgb="FF0C4E54"/>
      <name val="Calibri"/>
      <family val="0"/>
      <charset val="1"/>
    </font>
    <font>
      <b val="true"/>
      <sz val="11"/>
      <color rgb="FF0C4E54"/>
      <name val="Calibri"/>
      <family val="0"/>
      <charset val="1"/>
    </font>
    <font>
      <sz val="11"/>
      <color rgb="FF008000"/>
      <name val="Calibri"/>
      <family val="0"/>
      <charset val="1"/>
    </font>
    <font>
      <b val="true"/>
      <sz val="14"/>
      <color rgb="FF0C4E54"/>
      <name val="Calibri"/>
      <family val="0"/>
      <charset val="1"/>
    </font>
    <font>
      <b val="true"/>
      <sz val="12"/>
      <color rgb="FF000000"/>
      <name val="Calibri"/>
      <family val="0"/>
      <charset val="1"/>
    </font>
    <font>
      <b val="true"/>
      <sz val="18"/>
      <color rgb="FF000000"/>
      <name val="Calibri"/>
      <family val="2"/>
    </font>
    <font>
      <sz val="10"/>
      <color rgb="FF000000"/>
      <name val="Calibri"/>
      <family val="2"/>
    </font>
    <font>
      <b val="true"/>
      <sz val="10"/>
      <color rgb="FF000000"/>
      <name val="Calibri"/>
      <family val="2"/>
    </font>
    <font>
      <b val="true"/>
      <sz val="22"/>
      <color rgb="FFFFFFFF"/>
      <name val="Calibri"/>
      <family val="0"/>
      <charset val="1"/>
    </font>
    <font>
      <sz val="12"/>
      <color rgb="FFFFFFFF"/>
      <name val="Calibri"/>
      <family val="0"/>
      <charset val="1"/>
    </font>
    <font>
      <b val="true"/>
      <sz val="16"/>
      <color rgb="FF0C4E54"/>
      <name val="Calibri"/>
      <family val="0"/>
      <charset val="1"/>
    </font>
  </fonts>
  <fills count="7">
    <fill>
      <patternFill patternType="none"/>
    </fill>
    <fill>
      <patternFill patternType="gray125"/>
    </fill>
    <fill>
      <patternFill patternType="solid">
        <fgColor rgb="FF01696F"/>
        <bgColor rgb="FF0C4E54"/>
      </patternFill>
    </fill>
    <fill>
      <patternFill patternType="solid">
        <fgColor rgb="FFFFF8DC"/>
        <bgColor rgb="FFF9F9F9"/>
      </patternFill>
    </fill>
    <fill>
      <patternFill patternType="solid">
        <fgColor rgb="FFFFFF00"/>
        <bgColor rgb="FFFFFF00"/>
      </patternFill>
    </fill>
    <fill>
      <patternFill patternType="solid">
        <fgColor rgb="FFFDE8E8"/>
        <bgColor rgb="FFFFF8DC"/>
      </patternFill>
    </fill>
    <fill>
      <patternFill patternType="solid">
        <fgColor rgb="FF0C4E54"/>
        <bgColor rgb="FF1B474D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medium">
        <color rgb="FF0C4E54"/>
      </bottom>
      <diagonal/>
    </border>
    <border diagonalUp="false" diagonalDown="false">
      <left style="thin">
        <color rgb="FFD4D1CA"/>
      </left>
      <right style="thin">
        <color rgb="FFD4D1CA"/>
      </right>
      <top style="thin">
        <color rgb="FFD4D1CA"/>
      </top>
      <bottom style="thin">
        <color rgb="FFD4D1CA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0" fillId="0" borderId="2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1" fillId="3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4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4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3" borderId="2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5" fontId="16" fillId="3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16" fillId="3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16" fillId="3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16" fillId="3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9" fontId="16" fillId="3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9" fontId="17" fillId="0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0" fontId="17" fillId="0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9" fontId="12" fillId="0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2" fillId="0" borderId="2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9" fontId="12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17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8" fillId="0" borderId="2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9" fontId="19" fillId="0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9" fontId="18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7" fillId="0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0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0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3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5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2" fillId="0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2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20" fillId="0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1" fontId="17" fillId="0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2" fontId="21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21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21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3" fontId="17" fillId="0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22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2" fontId="22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22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22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20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2" fontId="17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17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7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5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5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6" fontId="17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6" fillId="6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7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28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28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72" fontId="28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71" fontId="28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7" fontId="28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7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">
    <dxf>
      <font>
        <b val="1"/>
        <color rgb="FFFF0000"/>
      </font>
      <fill>
        <patternFill>
          <bgColor rgb="FFFDE8E8"/>
        </patternFill>
      </fill>
    </dxf>
    <dxf>
      <font>
        <b val="1"/>
        <color rgb="FF008000"/>
      </font>
      <fill>
        <patternFill>
          <bgColor rgb="FFE8FDE8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20808D"/>
      <rgbColor rgb="FFD4D1CA"/>
      <rgbColor rgb="FF878787"/>
      <rgbColor rgb="FF9999FF"/>
      <rgbColor rgb="FF944454"/>
      <rgbColor rgb="FFFFF8DC"/>
      <rgbColor rgb="FFE8FDE8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1696F"/>
      <rgbColor rgb="FF0000FF"/>
      <rgbColor rgb="FF00CCFF"/>
      <rgbColor rgb="FFF9F9F9"/>
      <rgbColor rgb="FFCCFFCC"/>
      <rgbColor rgb="FFFDE8E8"/>
      <rgbColor rgb="FF99CCFF"/>
      <rgbColor rgb="FFFF99CC"/>
      <rgbColor rgb="FFCC99FF"/>
      <rgbColor rgb="FFFFCC99"/>
      <rgbColor rgb="FF4A7EBB"/>
      <rgbColor rgb="FF33CCCC"/>
      <rgbColor rgb="FF99CC00"/>
      <rgbColor rgb="FFFFCC00"/>
      <rgbColor rgb="FFFF9900"/>
      <rgbColor rgb="FFFF6600"/>
      <rgbColor rgb="FF7A7974"/>
      <rgbColor rgb="FF969696"/>
      <rgbColor rgb="FF0C4E54"/>
      <rgbColor rgb="FF437A22"/>
      <rgbColor rgb="FF003300"/>
      <rgbColor rgb="FF28251D"/>
      <rgbColor rgb="FFA84B2F"/>
      <rgbColor rgb="FFBE4B48"/>
      <rgbColor rgb="FF1B474D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800" strike="noStrike" u="none">
                <a:solidFill>
                  <a:srgbClr val="000000"/>
                </a:solidFill>
                <a:uFillTx/>
                <a:latin typeface="Calibri"/>
              </a:rPr>
              <a:t>Monte Carlo IRR Distribution (1,000 Simulations)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tx>
            <c:strRef>
              <c:f>'Returns &amp; Risk'!C43</c:f>
              <c:strCache>
                <c:ptCount val="1"/>
                <c:pt idx="0">
                  <c:v>Frequency</c:v>
                </c:pt>
              </c:strCache>
            </c:strRef>
          </c:tx>
          <c:spPr>
            <a:solidFill>
              <a:srgbClr val="20808d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txPr>
              <a:bodyPr wrap="square"/>
              <a:lstStyle/>
              <a:p>
                <a:pPr>
                  <a:defRPr b="0" sz="10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leaderLines>
              <c:spPr>
                <a:ln>
                  <a:solidFill>
                    <a:srgbClr val="f9f9f9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'Returns &amp; Risk'!$B$44:$B$50</c:f>
              <c:strCache>
                <c:ptCount val="7"/>
                <c:pt idx="0">
                  <c:v>&lt; 5%</c:v>
                </c:pt>
                <c:pt idx="1">
                  <c:v>5% - 8%</c:v>
                </c:pt>
                <c:pt idx="2">
                  <c:v>8% - 10%</c:v>
                </c:pt>
                <c:pt idx="3">
                  <c:v>10% - 12%</c:v>
                </c:pt>
                <c:pt idx="4">
                  <c:v>12% - 15%</c:v>
                </c:pt>
                <c:pt idx="5">
                  <c:v>15% - 20%</c:v>
                </c:pt>
                <c:pt idx="6">
                  <c:v>&gt; 20%</c:v>
                </c:pt>
              </c:strCache>
            </c:strRef>
          </c:cat>
          <c:val>
            <c:numRef>
              <c:f>'Returns &amp; Risk'!$C$44:$C$50</c:f>
              <c:numCache>
                <c:formatCode>#,##0</c:formatCode>
                <c:ptCount val="7"/>
                <c:pt idx="0">
                  <c:v>511</c:v>
                </c:pt>
                <c:pt idx="1">
                  <c:v>438</c:v>
                </c:pt>
                <c:pt idx="2">
                  <c:v>48</c:v>
                </c:pt>
                <c:pt idx="3">
                  <c:v>3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</c:ser>
        <c:gapWidth val="150"/>
        <c:overlap val="0"/>
        <c:axId val="79588128"/>
        <c:axId val="99002419"/>
      </c:barChart>
      <c:catAx>
        <c:axId val="79588128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Calibri"/>
                  </a:rPr>
                  <a:t>IRR Range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Calibri"/>
              </a:defRPr>
            </a:pPr>
          </a:p>
        </c:txPr>
        <c:crossAx val="99002419"/>
        <c:crosses val="autoZero"/>
        <c:auto val="1"/>
        <c:lblAlgn val="ctr"/>
        <c:lblOffset val="100"/>
        <c:noMultiLvlLbl val="0"/>
      </c:catAx>
      <c:valAx>
        <c:axId val="99002419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Calibri"/>
                  </a:rPr>
                  <a:t>Frequency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#,##0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Calibri"/>
              </a:defRPr>
            </a:pPr>
          </a:p>
        </c:txPr>
        <c:crossAx val="79588128"/>
        <c:crosses val="autoZero"/>
        <c:crossBetween val="between"/>
      </c:valAx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800" strike="noStrike" u="none">
                <a:solidFill>
                  <a:srgbClr val="000000"/>
                </a:solidFill>
                <a:uFillTx/>
                <a:latin typeface="Calibri"/>
              </a:rPr>
              <a:t>NOI vs. Before-Tax Cash Flow — 10 Year Projection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tx>
            <c:strRef>
              <c:f>Dashboard!B12</c:f>
              <c:strCache>
                <c:ptCount val="1"/>
                <c:pt idx="0">
                  <c:v>NOI</c:v>
                </c:pt>
              </c:strCache>
            </c:strRef>
          </c:tx>
          <c:spPr>
            <a:solidFill>
              <a:srgbClr val="20808d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txPr>
              <a:bodyPr wrap="square"/>
              <a:lstStyle/>
              <a:p>
                <a:pPr>
                  <a:defRPr b="0" sz="10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leaderLines>
              <c:spPr>
                <a:ln>
                  <a:solidFill>
                    <a:srgbClr val="f9f9f9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Dashboard!$C$11:$L$11</c:f>
              <c:strCache>
                <c:ptCount val="10"/>
                <c:pt idx="0">
                  <c:v>Yr 1</c:v>
                </c:pt>
                <c:pt idx="1">
                  <c:v>Yr 2</c:v>
                </c:pt>
                <c:pt idx="2">
                  <c:v>Yr 3</c:v>
                </c:pt>
                <c:pt idx="3">
                  <c:v>Yr 4</c:v>
                </c:pt>
                <c:pt idx="4">
                  <c:v>Yr 5</c:v>
                </c:pt>
                <c:pt idx="5">
                  <c:v>Yr 6</c:v>
                </c:pt>
                <c:pt idx="6">
                  <c:v>Yr 7</c:v>
                </c:pt>
                <c:pt idx="7">
                  <c:v>Yr 8</c:v>
                </c:pt>
                <c:pt idx="8">
                  <c:v>Yr 9</c:v>
                </c:pt>
                <c:pt idx="9">
                  <c:v>Yr 10</c:v>
                </c:pt>
              </c:strCache>
            </c:strRef>
          </c:cat>
          <c:val>
            <c:numRef>
              <c:f>Dashboard!$C$12:$L$12</c:f>
              <c:numCache>
                <c:formatCode>\$#,##0;"($"#,##0\);\-</c:formatCode>
                <c:ptCount val="10"/>
                <c:pt idx="0">
                  <c:v>143566.876</c:v>
                </c:pt>
                <c:pt idx="1">
                  <c:v>145829.05852</c:v>
                </c:pt>
                <c:pt idx="2">
                  <c:v>148115.2100404</c:v>
                </c:pt>
                <c:pt idx="3">
                  <c:v>150425.171701708</c:v>
                </c:pt>
                <c:pt idx="4">
                  <c:v>152758.762320057</c:v>
                </c:pt>
                <c:pt idx="5">
                  <c:v>155115.777366303</c:v>
                </c:pt>
                <c:pt idx="6">
                  <c:v>157495.987907469</c:v>
                </c:pt>
                <c:pt idx="7">
                  <c:v>159899.139509273</c:v>
                </c:pt>
                <c:pt idx="8">
                  <c:v>162324.951098423</c:v>
                </c:pt>
                <c:pt idx="9">
                  <c:v>164773.113783325</c:v>
                </c:pt>
              </c:numCache>
            </c:numRef>
          </c:val>
        </c:ser>
        <c:ser>
          <c:idx val="1"/>
          <c:order val="1"/>
          <c:tx>
            <c:strRef>
              <c:f>Dashboard!B13</c:f>
              <c:strCache>
                <c:ptCount val="1"/>
                <c:pt idx="0">
                  <c:v>BTCF</c:v>
                </c:pt>
              </c:strCache>
            </c:strRef>
          </c:tx>
          <c:spPr>
            <a:solidFill>
              <a:srgbClr val="a84b2f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txPr>
              <a:bodyPr wrap="square"/>
              <a:lstStyle/>
              <a:p>
                <a:pPr>
                  <a:defRPr b="0" sz="10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leaderLines>
              <c:spPr>
                <a:ln>
                  <a:solidFill>
                    <a:srgbClr val="f9f9f9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Dashboard!$C$11:$L$11</c:f>
              <c:strCache>
                <c:ptCount val="10"/>
                <c:pt idx="0">
                  <c:v>Yr 1</c:v>
                </c:pt>
                <c:pt idx="1">
                  <c:v>Yr 2</c:v>
                </c:pt>
                <c:pt idx="2">
                  <c:v>Yr 3</c:v>
                </c:pt>
                <c:pt idx="3">
                  <c:v>Yr 4</c:v>
                </c:pt>
                <c:pt idx="4">
                  <c:v>Yr 5</c:v>
                </c:pt>
                <c:pt idx="5">
                  <c:v>Yr 6</c:v>
                </c:pt>
                <c:pt idx="6">
                  <c:v>Yr 7</c:v>
                </c:pt>
                <c:pt idx="7">
                  <c:v>Yr 8</c:v>
                </c:pt>
                <c:pt idx="8">
                  <c:v>Yr 9</c:v>
                </c:pt>
                <c:pt idx="9">
                  <c:v>Yr 10</c:v>
                </c:pt>
              </c:strCache>
            </c:strRef>
          </c:cat>
          <c:val>
            <c:numRef>
              <c:f>Dashboard!$C$13:$L$13</c:f>
              <c:numCache>
                <c:formatCode>\$#,##0;"($"#,##0\);\-</c:formatCode>
                <c:ptCount val="10"/>
                <c:pt idx="0">
                  <c:v>-35286.659424306</c:v>
                </c:pt>
                <c:pt idx="1">
                  <c:v>-33024.4769043059</c:v>
                </c:pt>
                <c:pt idx="2">
                  <c:v>-30738.3253839059</c:v>
                </c:pt>
                <c:pt idx="3">
                  <c:v>-28428.3637225979</c:v>
                </c:pt>
                <c:pt idx="4">
                  <c:v>-26094.7731042488</c:v>
                </c:pt>
                <c:pt idx="5">
                  <c:v>-23737.7580580031</c:v>
                </c:pt>
                <c:pt idx="6">
                  <c:v>-21357.5475168373</c:v>
                </c:pt>
                <c:pt idx="7">
                  <c:v>-18954.3959150329</c:v>
                </c:pt>
                <c:pt idx="8">
                  <c:v>-16528.5843258829</c:v>
                </c:pt>
                <c:pt idx="9">
                  <c:v>-14080.4216409809</c:v>
                </c:pt>
              </c:numCache>
            </c:numRef>
          </c:val>
        </c:ser>
        <c:gapWidth val="150"/>
        <c:overlap val="0"/>
        <c:axId val="7346669"/>
        <c:axId val="98735021"/>
      </c:barChart>
      <c:catAx>
        <c:axId val="7346669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Calibri"/>
              </a:defRPr>
            </a:pPr>
          </a:p>
        </c:txPr>
        <c:crossAx val="98735021"/>
        <c:crosses val="autoZero"/>
        <c:auto val="1"/>
        <c:lblAlgn val="ctr"/>
        <c:lblOffset val="100"/>
        <c:noMultiLvlLbl val="0"/>
      </c:catAx>
      <c:valAx>
        <c:axId val="98735021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Calibri"/>
                  </a:rPr>
                  <a:t>Amount ($)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\$#,##0;&quot;($&quot;#,##0\);\-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Calibri"/>
              </a:defRPr>
            </a:pPr>
          </a:p>
        </c:txPr>
        <c:crossAx val="7346669"/>
        <c:crosses val="autoZero"/>
        <c:crossBetween val="between"/>
      </c:valAx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800" strike="noStrike" u="none">
                <a:solidFill>
                  <a:srgbClr val="000000"/>
                </a:solidFill>
                <a:uFillTx/>
                <a:latin typeface="Calibri"/>
              </a:rPr>
              <a:t>Debt Service Coverage Ratio — 10 Year Trend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Dashboard!B34</c:f>
              <c:strCache>
                <c:ptCount val="1"/>
                <c:pt idx="0">
                  <c:v>DSCR</c:v>
                </c:pt>
              </c:strCache>
            </c:strRef>
          </c:tx>
          <c:spPr>
            <a:solidFill>
              <a:srgbClr val="4a7ebb"/>
            </a:solidFill>
            <a:ln w="24840">
              <a:solidFill>
                <a:srgbClr val="4a7ebb"/>
              </a:solidFill>
              <a:round/>
            </a:ln>
          </c:spPr>
          <c:marker>
            <c:symbol val="none"/>
          </c:marker>
          <c:dLbls>
            <c:txPr>
              <a:bodyPr wrap="square"/>
              <a:lstStyle/>
              <a:p>
                <a:pPr>
                  <a:defRPr b="0" sz="10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leaderLines>
              <c:spPr>
                <a:ln w="2484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Dashboard!$C$33:$L$33</c:f>
              <c:strCache>
                <c:ptCount val="10"/>
                <c:pt idx="0">
                  <c:v>Yr 1</c:v>
                </c:pt>
                <c:pt idx="1">
                  <c:v>Yr 2</c:v>
                </c:pt>
                <c:pt idx="2">
                  <c:v>Yr 3</c:v>
                </c:pt>
                <c:pt idx="3">
                  <c:v>Yr 4</c:v>
                </c:pt>
                <c:pt idx="4">
                  <c:v>Yr 5</c:v>
                </c:pt>
                <c:pt idx="5">
                  <c:v>Yr 6</c:v>
                </c:pt>
                <c:pt idx="6">
                  <c:v>Yr 7</c:v>
                </c:pt>
                <c:pt idx="7">
                  <c:v>Yr 8</c:v>
                </c:pt>
                <c:pt idx="8">
                  <c:v>Yr 9</c:v>
                </c:pt>
                <c:pt idx="9">
                  <c:v>Yr 10</c:v>
                </c:pt>
              </c:strCache>
            </c:strRef>
          </c:cat>
          <c:val>
            <c:numRef>
              <c:f>Dashboard!$C$34:$L$34</c:f>
              <c:numCache>
                <c:formatCode>0.00\x</c:formatCode>
                <c:ptCount val="10"/>
                <c:pt idx="0">
                  <c:v>0.802706391346455</c:v>
                </c:pt>
                <c:pt idx="1">
                  <c:v>0.815354631788744</c:v>
                </c:pt>
                <c:pt idx="2">
                  <c:v>0.828136886917089</c:v>
                </c:pt>
                <c:pt idx="3">
                  <c:v>0.841052268521528</c:v>
                </c:pt>
                <c:pt idx="4">
                  <c:v>0.854099763572789</c:v>
                </c:pt>
                <c:pt idx="5">
                  <c:v>0.867278228514251</c:v>
                </c:pt>
                <c:pt idx="6">
                  <c:v>0.880586383343391</c:v>
                </c:pt>
                <c:pt idx="7">
                  <c:v>0.89402280547563</c:v>
                </c:pt>
                <c:pt idx="8">
                  <c:v>0.907585923383225</c:v>
                </c:pt>
                <c:pt idx="9">
                  <c:v>0.921274010001664</c:v>
                </c:pt>
              </c:numCache>
            </c:numRef>
          </c:val>
          <c:smooth val="1"/>
        </c:ser>
        <c:ser>
          <c:idx val="1"/>
          <c:order val="1"/>
          <c:tx>
            <c:strRef>
              <c:f>Dashboard!B35</c:f>
              <c:strCache>
                <c:ptCount val="1"/>
                <c:pt idx="0">
                  <c:v>Minimum (1.25x)</c:v>
                </c:pt>
              </c:strCache>
            </c:strRef>
          </c:tx>
          <c:spPr>
            <a:solidFill>
              <a:srgbClr val="be4b48"/>
            </a:solidFill>
            <a:ln w="47520">
              <a:solidFill>
                <a:srgbClr val="be4b48"/>
              </a:solidFill>
              <a:prstDash val="dash"/>
              <a:round/>
            </a:ln>
          </c:spPr>
          <c:marker>
            <c:symbol val="none"/>
          </c:marker>
          <c:dLbls>
            <c:txPr>
              <a:bodyPr wrap="square"/>
              <a:lstStyle/>
              <a:p>
                <a:pPr>
                  <a:defRPr b="0" sz="10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leaderLines>
              <c:spPr>
                <a:ln w="4752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Dashboard!$C$33:$L$33</c:f>
              <c:strCache>
                <c:ptCount val="10"/>
                <c:pt idx="0">
                  <c:v>Yr 1</c:v>
                </c:pt>
                <c:pt idx="1">
                  <c:v>Yr 2</c:v>
                </c:pt>
                <c:pt idx="2">
                  <c:v>Yr 3</c:v>
                </c:pt>
                <c:pt idx="3">
                  <c:v>Yr 4</c:v>
                </c:pt>
                <c:pt idx="4">
                  <c:v>Yr 5</c:v>
                </c:pt>
                <c:pt idx="5">
                  <c:v>Yr 6</c:v>
                </c:pt>
                <c:pt idx="6">
                  <c:v>Yr 7</c:v>
                </c:pt>
                <c:pt idx="7">
                  <c:v>Yr 8</c:v>
                </c:pt>
                <c:pt idx="8">
                  <c:v>Yr 9</c:v>
                </c:pt>
                <c:pt idx="9">
                  <c:v>Yr 10</c:v>
                </c:pt>
              </c:strCache>
            </c:strRef>
          </c:cat>
          <c:val>
            <c:numRef>
              <c:f>Dashboard!$C$35:$L$35</c:f>
              <c:numCache>
                <c:formatCode>0.00\x</c:formatCode>
                <c:ptCount val="10"/>
                <c:pt idx="0">
                  <c:v>1.25</c:v>
                </c:pt>
                <c:pt idx="1">
                  <c:v>1.25</c:v>
                </c:pt>
                <c:pt idx="2">
                  <c:v>1.25</c:v>
                </c:pt>
                <c:pt idx="3">
                  <c:v>1.25</c:v>
                </c:pt>
                <c:pt idx="4">
                  <c:v>1.25</c:v>
                </c:pt>
                <c:pt idx="5">
                  <c:v>1.25</c:v>
                </c:pt>
                <c:pt idx="6">
                  <c:v>1.25</c:v>
                </c:pt>
                <c:pt idx="7">
                  <c:v>1.25</c:v>
                </c:pt>
                <c:pt idx="8">
                  <c:v>1.25</c:v>
                </c:pt>
                <c:pt idx="9">
                  <c:v>1.25</c:v>
                </c:pt>
              </c:numCache>
            </c:numRef>
          </c:val>
          <c:smooth val="1"/>
        </c:ser>
        <c:hiLowLines>
          <c:spPr>
            <a:ln w="0">
              <a:noFill/>
            </a:ln>
          </c:spPr>
        </c:hiLowLines>
        <c:marker val="0"/>
        <c:axId val="81780164"/>
        <c:axId val="22206077"/>
      </c:lineChart>
      <c:catAx>
        <c:axId val="8178016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Calibri"/>
              </a:defRPr>
            </a:pPr>
          </a:p>
        </c:txPr>
        <c:crossAx val="22206077"/>
        <c:crosses val="autoZero"/>
        <c:auto val="1"/>
        <c:lblAlgn val="ctr"/>
        <c:lblOffset val="100"/>
        <c:noMultiLvlLbl val="0"/>
      </c:catAx>
      <c:valAx>
        <c:axId val="22206077"/>
        <c:scaling>
          <c:orientation val="minMax"/>
          <c:max val="3"/>
          <c:min val="0.5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Calibri"/>
                  </a:rPr>
                  <a:t>DSCR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.00\x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Calibri"/>
              </a:defRPr>
            </a:pPr>
          </a:p>
        </c:txPr>
        <c:crossAx val="81780164"/>
        <c:crosses val="autoZero"/>
        <c:crossBetween val="between"/>
      </c:valAx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2.png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image" Target="../media/image2.png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image" Target="../media/image2.png"/>
</Relationships>
</file>

<file path=xl/drawings/_rels/drawing5.xml.rels><?xml version="1.0" encoding="UTF-8"?>
<Relationships xmlns="http://schemas.openxmlformats.org/package/2006/relationships"><Relationship Id="rId1" Type="http://schemas.openxmlformats.org/officeDocument/2006/relationships/image" Target="../media/image2.png"/>
</Relationships>
</file>

<file path=xl/drawings/_rels/drawing6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image" Target="../media/image2.png"/>
</Relationships>
</file>

<file path=xl/drawings/_rels/drawing7.xml.rels><?xml version="1.0" encoding="UTF-8"?>
<Relationships xmlns="http://schemas.openxmlformats.org/package/2006/relationships"><Relationship Id="rId1" Type="http://schemas.openxmlformats.org/officeDocument/2006/relationships/chart" Target="../charts/chart2.xml"/><Relationship Id="rId2" Type="http://schemas.openxmlformats.org/officeDocument/2006/relationships/chart" Target="../charts/chart3.xml"/><Relationship Id="rId3" Type="http://schemas.openxmlformats.org/officeDocument/2006/relationships/image" Target="../media/image3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4</xdr:col>
      <xdr:colOff>0</xdr:colOff>
      <xdr:row>1</xdr:row>
      <xdr:rowOff>0</xdr:rowOff>
    </xdr:from>
    <xdr:to>
      <xdr:col>4</xdr:col>
      <xdr:colOff>856440</xdr:colOff>
      <xdr:row>2</xdr:row>
      <xdr:rowOff>94320</xdr:rowOff>
    </xdr:to>
    <xdr:pic>
      <xdr:nvPicPr>
        <xdr:cNvPr id="0" name="Image 1" descr="Picture"/>
        <xdr:cNvPicPr/>
      </xdr:nvPicPr>
      <xdr:blipFill>
        <a:blip r:embed="rId1"/>
        <a:stretch/>
      </xdr:blipFill>
      <xdr:spPr>
        <a:xfrm>
          <a:off x="7964640" y="190440"/>
          <a:ext cx="856440" cy="85644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7</xdr:col>
      <xdr:colOff>0</xdr:colOff>
      <xdr:row>1</xdr:row>
      <xdr:rowOff>0</xdr:rowOff>
    </xdr:from>
    <xdr:to>
      <xdr:col>7</xdr:col>
      <xdr:colOff>428040</xdr:colOff>
      <xdr:row>1</xdr:row>
      <xdr:rowOff>428040</xdr:rowOff>
    </xdr:to>
    <xdr:pic>
      <xdr:nvPicPr>
        <xdr:cNvPr id="1" name="Image 1" descr="Picture"/>
        <xdr:cNvPicPr/>
      </xdr:nvPicPr>
      <xdr:blipFill>
        <a:blip r:embed="rId1"/>
        <a:stretch/>
      </xdr:blipFill>
      <xdr:spPr>
        <a:xfrm>
          <a:off x="5497920" y="190440"/>
          <a:ext cx="428040" cy="42804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14</xdr:col>
      <xdr:colOff>0</xdr:colOff>
      <xdr:row>1</xdr:row>
      <xdr:rowOff>0</xdr:rowOff>
    </xdr:from>
    <xdr:to>
      <xdr:col>14</xdr:col>
      <xdr:colOff>428040</xdr:colOff>
      <xdr:row>1</xdr:row>
      <xdr:rowOff>428040</xdr:rowOff>
    </xdr:to>
    <xdr:pic>
      <xdr:nvPicPr>
        <xdr:cNvPr id="2" name="Image 1" descr="Picture"/>
        <xdr:cNvPicPr/>
      </xdr:nvPicPr>
      <xdr:blipFill>
        <a:blip r:embed="rId1"/>
        <a:stretch/>
      </xdr:blipFill>
      <xdr:spPr>
        <a:xfrm>
          <a:off x="14026680" y="190440"/>
          <a:ext cx="428040" cy="42804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12</xdr:col>
      <xdr:colOff>0</xdr:colOff>
      <xdr:row>1</xdr:row>
      <xdr:rowOff>0</xdr:rowOff>
    </xdr:from>
    <xdr:to>
      <xdr:col>12</xdr:col>
      <xdr:colOff>428040</xdr:colOff>
      <xdr:row>1</xdr:row>
      <xdr:rowOff>428040</xdr:rowOff>
    </xdr:to>
    <xdr:pic>
      <xdr:nvPicPr>
        <xdr:cNvPr id="3" name="Image 1" descr="Picture"/>
        <xdr:cNvPicPr/>
      </xdr:nvPicPr>
      <xdr:blipFill>
        <a:blip r:embed="rId1"/>
        <a:stretch/>
      </xdr:blipFill>
      <xdr:spPr>
        <a:xfrm>
          <a:off x="13603680" y="190440"/>
          <a:ext cx="428040" cy="42804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0</xdr:colOff>
      <xdr:row>1</xdr:row>
      <xdr:rowOff>0</xdr:rowOff>
    </xdr:from>
    <xdr:to>
      <xdr:col>9</xdr:col>
      <xdr:colOff>428040</xdr:colOff>
      <xdr:row>1</xdr:row>
      <xdr:rowOff>428040</xdr:rowOff>
    </xdr:to>
    <xdr:pic>
      <xdr:nvPicPr>
        <xdr:cNvPr id="4" name="Image 1" descr="Picture"/>
        <xdr:cNvPicPr/>
      </xdr:nvPicPr>
      <xdr:blipFill>
        <a:blip r:embed="rId1"/>
        <a:stretch/>
      </xdr:blipFill>
      <xdr:spPr>
        <a:xfrm>
          <a:off x="9656280" y="190440"/>
          <a:ext cx="428040" cy="42804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4</xdr:col>
      <xdr:colOff>0</xdr:colOff>
      <xdr:row>41</xdr:row>
      <xdr:rowOff>12240</xdr:rowOff>
    </xdr:from>
    <xdr:to>
      <xdr:col>9</xdr:col>
      <xdr:colOff>134640</xdr:colOff>
      <xdr:row>59</xdr:row>
      <xdr:rowOff>166680</xdr:rowOff>
    </xdr:to>
    <xdr:graphicFrame>
      <xdr:nvGraphicFramePr>
        <xdr:cNvPr id="5" name="Chart 1"/>
        <xdr:cNvGraphicFramePr/>
      </xdr:nvGraphicFramePr>
      <xdr:xfrm>
        <a:off x="4863600" y="8222760"/>
        <a:ext cx="6478200" cy="35931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7</xdr:col>
      <xdr:colOff>0</xdr:colOff>
      <xdr:row>1</xdr:row>
      <xdr:rowOff>0</xdr:rowOff>
    </xdr:from>
    <xdr:to>
      <xdr:col>7</xdr:col>
      <xdr:colOff>428040</xdr:colOff>
      <xdr:row>1</xdr:row>
      <xdr:rowOff>428040</xdr:rowOff>
    </xdr:to>
    <xdr:pic>
      <xdr:nvPicPr>
        <xdr:cNvPr id="6" name="Image 2" descr="Picture"/>
        <xdr:cNvPicPr/>
      </xdr:nvPicPr>
      <xdr:blipFill>
        <a:blip r:embed="rId2"/>
        <a:stretch/>
      </xdr:blipFill>
      <xdr:spPr>
        <a:xfrm>
          <a:off x="8669520" y="190440"/>
          <a:ext cx="428040" cy="42804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0</xdr:colOff>
      <xdr:row>12</xdr:row>
      <xdr:rowOff>161280</xdr:rowOff>
    </xdr:from>
    <xdr:to>
      <xdr:col>7</xdr:col>
      <xdr:colOff>23760</xdr:colOff>
      <xdr:row>35</xdr:row>
      <xdr:rowOff>83520</xdr:rowOff>
    </xdr:to>
    <xdr:graphicFrame>
      <xdr:nvGraphicFramePr>
        <xdr:cNvPr id="7" name="Chart 1"/>
        <xdr:cNvGraphicFramePr/>
      </xdr:nvGraphicFramePr>
      <xdr:xfrm>
        <a:off x="211320" y="3056760"/>
        <a:ext cx="7918200" cy="43135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34</xdr:row>
      <xdr:rowOff>146520</xdr:rowOff>
    </xdr:from>
    <xdr:to>
      <xdr:col>7</xdr:col>
      <xdr:colOff>23760</xdr:colOff>
      <xdr:row>57</xdr:row>
      <xdr:rowOff>68760</xdr:rowOff>
    </xdr:to>
    <xdr:graphicFrame>
      <xdr:nvGraphicFramePr>
        <xdr:cNvPr id="8" name="Chart 2"/>
        <xdr:cNvGraphicFramePr/>
      </xdr:nvGraphicFramePr>
      <xdr:xfrm>
        <a:off x="211320" y="7242480"/>
        <a:ext cx="7918200" cy="43135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11</xdr:col>
      <xdr:colOff>0</xdr:colOff>
      <xdr:row>1</xdr:row>
      <xdr:rowOff>0</xdr:rowOff>
    </xdr:from>
    <xdr:to>
      <xdr:col>11</xdr:col>
      <xdr:colOff>666000</xdr:colOff>
      <xdr:row>2</xdr:row>
      <xdr:rowOff>94320</xdr:rowOff>
    </xdr:to>
    <xdr:pic>
      <xdr:nvPicPr>
        <xdr:cNvPr id="9" name="Image 3" descr="Picture"/>
        <xdr:cNvPicPr/>
      </xdr:nvPicPr>
      <xdr:blipFill>
        <a:blip r:embed="rId3"/>
        <a:stretch/>
      </xdr:blipFill>
      <xdr:spPr>
        <a:xfrm>
          <a:off x="13180680" y="190440"/>
          <a:ext cx="666000" cy="66600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6.x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drawing" Target="../drawings/drawing7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1696F"/>
    <pageSetUpPr fitToPage="false"/>
  </sheetPr>
  <dimension ref="B2:E12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" width="3"/>
    <col collapsed="false" customWidth="true" hidden="false" outlineLevel="0" max="2" min="2" style="1" width="25"/>
    <col collapsed="false" customWidth="true" hidden="false" outlineLevel="0" max="3" min="3" style="1" width="60"/>
    <col collapsed="false" customWidth="true" hidden="false" outlineLevel="0" max="4" min="4" style="1" width="25"/>
    <col collapsed="false" customWidth="true" hidden="false" outlineLevel="0" max="5" min="5" style="1" width="20"/>
  </cols>
  <sheetData>
    <row r="2" customFormat="false" ht="60" hidden="false" customHeight="true" outlineLevel="0" collapsed="false">
      <c r="B2" s="2" t="s">
        <v>0</v>
      </c>
      <c r="C2" s="2"/>
      <c r="D2" s="2"/>
      <c r="E2" s="2"/>
    </row>
    <row r="3" customFormat="false" ht="24.75" hidden="false" customHeight="true" outlineLevel="0" collapsed="false">
      <c r="B3" s="3" t="s">
        <v>1</v>
      </c>
      <c r="C3" s="3"/>
      <c r="D3" s="3"/>
      <c r="E3" s="3"/>
    </row>
    <row r="4" customFormat="false" ht="15" hidden="false" customHeight="true" outlineLevel="0" collapsed="false">
      <c r="B4" s="4" t="s">
        <v>2</v>
      </c>
      <c r="C4" s="4"/>
      <c r="D4" s="4"/>
      <c r="E4" s="4"/>
    </row>
    <row r="6" customFormat="false" ht="15.75" hidden="false" customHeight="true" outlineLevel="0" collapsed="false">
      <c r="B6" s="5" t="s">
        <v>3</v>
      </c>
      <c r="C6" s="5"/>
      <c r="D6" s="5"/>
      <c r="E6" s="5"/>
    </row>
    <row r="7" customFormat="false" ht="15" hidden="false" customHeight="true" outlineLevel="0" collapsed="false">
      <c r="B7" s="6" t="s">
        <v>4</v>
      </c>
      <c r="C7" s="6" t="s">
        <v>5</v>
      </c>
      <c r="D7" s="6" t="s">
        <v>6</v>
      </c>
    </row>
    <row r="8" customFormat="false" ht="15" hidden="false" customHeight="true" outlineLevel="0" collapsed="false">
      <c r="B8" s="7" t="s">
        <v>7</v>
      </c>
      <c r="C8" s="8" t="s">
        <v>8</v>
      </c>
      <c r="D8" s="8" t="s">
        <v>9</v>
      </c>
    </row>
    <row r="9" customFormat="false" ht="15" hidden="false" customHeight="true" outlineLevel="0" collapsed="false">
      <c r="B9" s="7" t="s">
        <v>10</v>
      </c>
      <c r="C9" s="8" t="s">
        <v>11</v>
      </c>
      <c r="D9" s="8" t="s">
        <v>12</v>
      </c>
    </row>
    <row r="10" customFormat="false" ht="15" hidden="false" customHeight="true" outlineLevel="0" collapsed="false">
      <c r="B10" s="7" t="s">
        <v>13</v>
      </c>
      <c r="C10" s="8" t="s">
        <v>14</v>
      </c>
      <c r="D10" s="8" t="s">
        <v>9</v>
      </c>
    </row>
    <row r="11" customFormat="false" ht="15" hidden="false" customHeight="true" outlineLevel="0" collapsed="false">
      <c r="B11" s="7" t="s">
        <v>15</v>
      </c>
      <c r="C11" s="8" t="s">
        <v>16</v>
      </c>
      <c r="D11" s="8" t="s">
        <v>9</v>
      </c>
    </row>
    <row r="12" customFormat="false" ht="15" hidden="false" customHeight="true" outlineLevel="0" collapsed="false">
      <c r="B12" s="7" t="s">
        <v>17</v>
      </c>
      <c r="C12" s="8" t="s">
        <v>18</v>
      </c>
      <c r="D12" s="8" t="s">
        <v>9</v>
      </c>
    </row>
    <row r="13" customFormat="false" ht="15" hidden="false" customHeight="true" outlineLevel="0" collapsed="false">
      <c r="B13" s="7" t="s">
        <v>19</v>
      </c>
      <c r="C13" s="8" t="s">
        <v>20</v>
      </c>
      <c r="D13" s="8" t="s">
        <v>9</v>
      </c>
    </row>
    <row r="14" customFormat="false" ht="15" hidden="false" customHeight="true" outlineLevel="0" collapsed="false">
      <c r="B14" s="7" t="s">
        <v>21</v>
      </c>
      <c r="C14" s="8" t="s">
        <v>22</v>
      </c>
      <c r="D14" s="8" t="s">
        <v>9</v>
      </c>
    </row>
    <row r="16" customFormat="false" ht="15.75" hidden="false" customHeight="true" outlineLevel="0" collapsed="false">
      <c r="B16" s="5" t="s">
        <v>23</v>
      </c>
      <c r="C16" s="5"/>
      <c r="D16" s="5"/>
      <c r="E16" s="5"/>
    </row>
    <row r="17" customFormat="false" ht="15" hidden="false" customHeight="true" outlineLevel="0" collapsed="false">
      <c r="B17" s="9" t="s">
        <v>24</v>
      </c>
      <c r="C17" s="8" t="s">
        <v>25</v>
      </c>
    </row>
    <row r="18" customFormat="false" ht="15" hidden="false" customHeight="true" outlineLevel="0" collapsed="false">
      <c r="B18" s="10" t="s">
        <v>26</v>
      </c>
      <c r="C18" s="8" t="s">
        <v>27</v>
      </c>
    </row>
    <row r="19" customFormat="false" ht="15" hidden="false" customHeight="true" outlineLevel="0" collapsed="false">
      <c r="B19" s="11" t="s">
        <v>28</v>
      </c>
      <c r="C19" s="8" t="s">
        <v>29</v>
      </c>
    </row>
    <row r="20" customFormat="false" ht="15" hidden="false" customHeight="true" outlineLevel="0" collapsed="false">
      <c r="B20" s="12" t="s">
        <v>30</v>
      </c>
      <c r="C20" s="8" t="s">
        <v>31</v>
      </c>
    </row>
    <row r="22" customFormat="false" ht="15.75" hidden="false" customHeight="true" outlineLevel="0" collapsed="false">
      <c r="B22" s="5" t="s">
        <v>32</v>
      </c>
      <c r="C22" s="5"/>
      <c r="D22" s="5"/>
      <c r="E22" s="5"/>
    </row>
    <row r="23" customFormat="false" ht="21.75" hidden="false" customHeight="true" outlineLevel="0" collapsed="false">
      <c r="B23" s="13" t="s">
        <v>33</v>
      </c>
      <c r="C23" s="13"/>
      <c r="D23" s="13"/>
      <c r="E23" s="13"/>
    </row>
    <row r="24" customFormat="false" ht="21.75" hidden="false" customHeight="true" outlineLevel="0" collapsed="false">
      <c r="B24" s="13" t="s">
        <v>34</v>
      </c>
      <c r="C24" s="13"/>
      <c r="D24" s="13"/>
      <c r="E24" s="13"/>
    </row>
    <row r="25" customFormat="false" ht="21.75" hidden="false" customHeight="true" outlineLevel="0" collapsed="false">
      <c r="B25" s="13" t="s">
        <v>35</v>
      </c>
      <c r="C25" s="13"/>
      <c r="D25" s="13"/>
      <c r="E25" s="13"/>
    </row>
    <row r="26" customFormat="false" ht="21.75" hidden="false" customHeight="true" outlineLevel="0" collapsed="false">
      <c r="B26" s="13" t="s">
        <v>36</v>
      </c>
      <c r="C26" s="13"/>
      <c r="D26" s="13"/>
      <c r="E26" s="13"/>
    </row>
    <row r="27" customFormat="false" ht="21.75" hidden="false" customHeight="true" outlineLevel="0" collapsed="false">
      <c r="B27" s="13" t="s">
        <v>37</v>
      </c>
      <c r="C27" s="13"/>
      <c r="D27" s="13"/>
      <c r="E27" s="13"/>
    </row>
    <row r="28" customFormat="false" ht="21.75" hidden="false" customHeight="true" outlineLevel="0" collapsed="false">
      <c r="B28" s="13" t="s">
        <v>38</v>
      </c>
      <c r="C28" s="13"/>
      <c r="D28" s="13"/>
      <c r="E28" s="13"/>
    </row>
    <row r="29" customFormat="false" ht="21.75" hidden="false" customHeight="true" outlineLevel="0" collapsed="false">
      <c r="B29" s="13" t="s">
        <v>39</v>
      </c>
      <c r="C29" s="13"/>
      <c r="D29" s="13"/>
      <c r="E29" s="13"/>
    </row>
    <row r="31" customFormat="false" ht="15.75" hidden="false" customHeight="true" outlineLevel="0" collapsed="false">
      <c r="B31" s="5" t="s">
        <v>40</v>
      </c>
      <c r="C31" s="5"/>
      <c r="D31" s="5"/>
      <c r="E31" s="5"/>
    </row>
    <row r="32" customFormat="false" ht="19.5" hidden="false" customHeight="true" outlineLevel="0" collapsed="false">
      <c r="B32" s="13" t="s">
        <v>41</v>
      </c>
      <c r="C32" s="13"/>
      <c r="D32" s="13"/>
      <c r="E32" s="13"/>
    </row>
    <row r="33" customFormat="false" ht="19.5" hidden="false" customHeight="true" outlineLevel="0" collapsed="false">
      <c r="B33" s="13" t="s">
        <v>42</v>
      </c>
      <c r="C33" s="13"/>
      <c r="D33" s="13"/>
      <c r="E33" s="13"/>
    </row>
    <row r="34" customFormat="false" ht="19.5" hidden="false" customHeight="true" outlineLevel="0" collapsed="false">
      <c r="B34" s="13" t="s">
        <v>43</v>
      </c>
      <c r="C34" s="13"/>
      <c r="D34" s="13"/>
      <c r="E34" s="13"/>
    </row>
    <row r="35" customFormat="false" ht="19.5" hidden="false" customHeight="true" outlineLevel="0" collapsed="false">
      <c r="B35" s="13" t="s">
        <v>44</v>
      </c>
      <c r="C35" s="13"/>
      <c r="D35" s="13"/>
      <c r="E35" s="13"/>
    </row>
    <row r="36" customFormat="false" ht="19.5" hidden="false" customHeight="true" outlineLevel="0" collapsed="false">
      <c r="B36" s="13"/>
      <c r="C36" s="13"/>
      <c r="D36" s="13"/>
      <c r="E36" s="13"/>
    </row>
    <row r="37" customFormat="false" ht="19.5" hidden="false" customHeight="true" outlineLevel="0" collapsed="false">
      <c r="B37" s="13" t="s">
        <v>45</v>
      </c>
      <c r="C37" s="13"/>
      <c r="D37" s="13"/>
      <c r="E37" s="13"/>
    </row>
    <row r="38" customFormat="false" ht="19.5" hidden="false" customHeight="true" outlineLevel="0" collapsed="false">
      <c r="B38" s="13" t="s">
        <v>46</v>
      </c>
      <c r="C38" s="13"/>
      <c r="D38" s="13"/>
      <c r="E38" s="13"/>
    </row>
    <row r="39" customFormat="false" ht="15" hidden="false" customHeight="true" outlineLevel="0" collapsed="false">
      <c r="B39" s="14" t="s">
        <v>47</v>
      </c>
      <c r="C39" s="14"/>
      <c r="D39" s="14"/>
      <c r="E39" s="14"/>
    </row>
    <row r="40" customFormat="false" ht="15" hidden="false" customHeight="true" outlineLevel="0" collapsed="false">
      <c r="B40" s="14" t="s">
        <v>48</v>
      </c>
      <c r="C40" s="14"/>
      <c r="D40" s="14"/>
      <c r="E40" s="14"/>
    </row>
    <row r="41" customFormat="false" ht="15" hidden="false" customHeight="true" outlineLevel="0" collapsed="false">
      <c r="B41" s="14" t="s">
        <v>49</v>
      </c>
      <c r="C41" s="14"/>
      <c r="D41" s="14"/>
      <c r="E41" s="14"/>
    </row>
    <row r="42" customFormat="false" ht="15" hidden="false" customHeight="true" outlineLevel="0" collapsed="false">
      <c r="B42" s="14" t="s">
        <v>50</v>
      </c>
      <c r="C42" s="14"/>
      <c r="D42" s="14"/>
      <c r="E42" s="14"/>
    </row>
    <row r="43" customFormat="false" ht="15" hidden="false" customHeight="true" outlineLevel="0" collapsed="false">
      <c r="B43" s="14" t="s">
        <v>51</v>
      </c>
      <c r="C43" s="14"/>
      <c r="D43" s="14"/>
      <c r="E43" s="14"/>
    </row>
    <row r="44" customFormat="false" ht="15" hidden="false" customHeight="true" outlineLevel="0" collapsed="false">
      <c r="B44" s="14" t="s">
        <v>52</v>
      </c>
      <c r="C44" s="14"/>
      <c r="D44" s="14"/>
      <c r="E44" s="14"/>
    </row>
    <row r="45" customFormat="false" ht="15" hidden="false" customHeight="true" outlineLevel="0" collapsed="false">
      <c r="B45" s="14" t="s">
        <v>53</v>
      </c>
      <c r="C45" s="14"/>
      <c r="D45" s="14"/>
      <c r="E45" s="14"/>
    </row>
    <row r="46" customFormat="false" ht="15" hidden="false" customHeight="true" outlineLevel="0" collapsed="false">
      <c r="B46" s="14" t="s">
        <v>54</v>
      </c>
      <c r="C46" s="14"/>
      <c r="D46" s="14"/>
      <c r="E46" s="14"/>
    </row>
    <row r="47" customFormat="false" ht="15" hidden="false" customHeight="true" outlineLevel="0" collapsed="false">
      <c r="B47" s="14" t="s">
        <v>55</v>
      </c>
      <c r="C47" s="14"/>
      <c r="D47" s="14"/>
      <c r="E47" s="14"/>
    </row>
    <row r="48" customFormat="false" ht="15" hidden="false" customHeight="true" outlineLevel="0" collapsed="false">
      <c r="B48" s="14" t="s">
        <v>56</v>
      </c>
      <c r="C48" s="14"/>
      <c r="D48" s="14"/>
      <c r="E48" s="14"/>
    </row>
    <row r="49" customFormat="false" ht="15" hidden="false" customHeight="true" outlineLevel="0" collapsed="false">
      <c r="B49" s="14" t="s">
        <v>57</v>
      </c>
      <c r="C49" s="14"/>
      <c r="D49" s="14"/>
      <c r="E49" s="14"/>
    </row>
    <row r="50" customFormat="false" ht="15" hidden="false" customHeight="true" outlineLevel="0" collapsed="false">
      <c r="B50" s="14"/>
      <c r="C50" s="14"/>
      <c r="D50" s="14"/>
      <c r="E50" s="14"/>
    </row>
    <row r="51" customFormat="false" ht="15" hidden="false" customHeight="true" outlineLevel="0" collapsed="false">
      <c r="B51" s="14" t="s">
        <v>58</v>
      </c>
      <c r="C51" s="14"/>
      <c r="D51" s="14"/>
      <c r="E51" s="14"/>
    </row>
    <row r="52" customFormat="false" ht="15" hidden="false" customHeight="true" outlineLevel="0" collapsed="false">
      <c r="B52" s="14" t="s">
        <v>48</v>
      </c>
      <c r="C52" s="14"/>
      <c r="D52" s="14"/>
      <c r="E52" s="14"/>
    </row>
    <row r="53" customFormat="false" ht="15" hidden="false" customHeight="true" outlineLevel="0" collapsed="false">
      <c r="B53" s="14" t="s">
        <v>49</v>
      </c>
      <c r="C53" s="14"/>
      <c r="D53" s="14"/>
      <c r="E53" s="14"/>
    </row>
    <row r="54" customFormat="false" ht="15" hidden="false" customHeight="true" outlineLevel="0" collapsed="false">
      <c r="B54" s="14" t="s">
        <v>59</v>
      </c>
      <c r="C54" s="14"/>
      <c r="D54" s="14"/>
      <c r="E54" s="14"/>
    </row>
    <row r="55" customFormat="false" ht="15" hidden="false" customHeight="true" outlineLevel="0" collapsed="false">
      <c r="B55" s="14" t="s">
        <v>60</v>
      </c>
      <c r="C55" s="14"/>
      <c r="D55" s="14"/>
      <c r="E55" s="14"/>
    </row>
    <row r="56" customFormat="false" ht="15" hidden="false" customHeight="true" outlineLevel="0" collapsed="false">
      <c r="B56" s="14" t="s">
        <v>61</v>
      </c>
      <c r="C56" s="14"/>
      <c r="D56" s="14"/>
      <c r="E56" s="14"/>
    </row>
    <row r="57" customFormat="false" ht="15" hidden="false" customHeight="true" outlineLevel="0" collapsed="false">
      <c r="B57" s="14" t="s">
        <v>62</v>
      </c>
      <c r="C57" s="14"/>
      <c r="D57" s="14"/>
      <c r="E57" s="14"/>
    </row>
    <row r="58" customFormat="false" ht="15" hidden="false" customHeight="true" outlineLevel="0" collapsed="false">
      <c r="B58" s="14" t="s">
        <v>55</v>
      </c>
      <c r="C58" s="14"/>
      <c r="D58" s="14"/>
      <c r="E58" s="14"/>
    </row>
    <row r="59" customFormat="false" ht="15" hidden="false" customHeight="true" outlineLevel="0" collapsed="false">
      <c r="B59" s="14" t="s">
        <v>63</v>
      </c>
      <c r="C59" s="14"/>
      <c r="D59" s="14"/>
      <c r="E59" s="14"/>
    </row>
    <row r="60" customFormat="false" ht="15" hidden="false" customHeight="true" outlineLevel="0" collapsed="false">
      <c r="B60" s="14" t="s">
        <v>57</v>
      </c>
      <c r="C60" s="14"/>
      <c r="D60" s="14"/>
      <c r="E60" s="14"/>
    </row>
    <row r="61" customFormat="false" ht="15" hidden="false" customHeight="true" outlineLevel="0" collapsed="false">
      <c r="B61" s="14"/>
      <c r="C61" s="14"/>
      <c r="D61" s="14"/>
      <c r="E61" s="14"/>
    </row>
    <row r="62" customFormat="false" ht="15" hidden="false" customHeight="true" outlineLevel="0" collapsed="false">
      <c r="B62" s="14" t="s">
        <v>64</v>
      </c>
      <c r="C62" s="14"/>
      <c r="D62" s="14"/>
      <c r="E62" s="14"/>
    </row>
    <row r="63" customFormat="false" ht="15" hidden="false" customHeight="true" outlineLevel="0" collapsed="false">
      <c r="B63" s="14" t="s">
        <v>48</v>
      </c>
      <c r="C63" s="14"/>
      <c r="D63" s="14"/>
      <c r="E63" s="14"/>
    </row>
    <row r="64" customFormat="false" ht="15" hidden="false" customHeight="true" outlineLevel="0" collapsed="false">
      <c r="B64" s="14" t="s">
        <v>49</v>
      </c>
      <c r="C64" s="14"/>
      <c r="D64" s="14"/>
      <c r="E64" s="14"/>
    </row>
    <row r="65" customFormat="false" ht="15" hidden="false" customHeight="true" outlineLevel="0" collapsed="false">
      <c r="B65" s="14" t="s">
        <v>65</v>
      </c>
      <c r="C65" s="14"/>
      <c r="D65" s="14"/>
      <c r="E65" s="14"/>
    </row>
    <row r="66" customFormat="false" ht="15" hidden="false" customHeight="true" outlineLevel="0" collapsed="false">
      <c r="B66" s="14" t="s">
        <v>66</v>
      </c>
      <c r="C66" s="14"/>
      <c r="D66" s="14"/>
      <c r="E66" s="14"/>
    </row>
    <row r="67" customFormat="false" ht="15" hidden="false" customHeight="true" outlineLevel="0" collapsed="false">
      <c r="B67" s="14" t="s">
        <v>67</v>
      </c>
      <c r="C67" s="14"/>
      <c r="D67" s="14"/>
      <c r="E67" s="14"/>
    </row>
    <row r="68" customFormat="false" ht="15" hidden="false" customHeight="true" outlineLevel="0" collapsed="false">
      <c r="B68" s="14" t="s">
        <v>68</v>
      </c>
      <c r="C68" s="14"/>
      <c r="D68" s="14"/>
      <c r="E68" s="14"/>
    </row>
    <row r="69" customFormat="false" ht="15" hidden="false" customHeight="true" outlineLevel="0" collapsed="false">
      <c r="B69" s="14" t="s">
        <v>55</v>
      </c>
      <c r="C69" s="14"/>
      <c r="D69" s="14"/>
      <c r="E69" s="14"/>
    </row>
    <row r="70" customFormat="false" ht="15" hidden="false" customHeight="true" outlineLevel="0" collapsed="false">
      <c r="B70" s="14" t="s">
        <v>69</v>
      </c>
      <c r="C70" s="14"/>
      <c r="D70" s="14"/>
      <c r="E70" s="14"/>
    </row>
    <row r="71" customFormat="false" ht="15" hidden="false" customHeight="true" outlineLevel="0" collapsed="false">
      <c r="B71" s="14" t="s">
        <v>57</v>
      </c>
      <c r="C71" s="14"/>
      <c r="D71" s="14"/>
      <c r="E71" s="14"/>
    </row>
    <row r="72" customFormat="false" ht="15" hidden="false" customHeight="true" outlineLevel="0" collapsed="false">
      <c r="B72" s="14"/>
      <c r="C72" s="14"/>
      <c r="D72" s="14"/>
      <c r="E72" s="14"/>
    </row>
    <row r="73" customFormat="false" ht="15" hidden="false" customHeight="true" outlineLevel="0" collapsed="false">
      <c r="B73" s="14" t="s">
        <v>70</v>
      </c>
      <c r="C73" s="14"/>
      <c r="D73" s="14"/>
      <c r="E73" s="14"/>
    </row>
    <row r="74" customFormat="false" ht="15" hidden="false" customHeight="true" outlineLevel="0" collapsed="false">
      <c r="B74" s="14" t="s">
        <v>71</v>
      </c>
      <c r="C74" s="14"/>
      <c r="D74" s="14"/>
      <c r="E74" s="14"/>
    </row>
    <row r="75" customFormat="false" ht="15" hidden="false" customHeight="true" outlineLevel="0" collapsed="false">
      <c r="B75" s="14" t="s">
        <v>49</v>
      </c>
      <c r="C75" s="14"/>
      <c r="D75" s="14"/>
      <c r="E75" s="14"/>
    </row>
    <row r="76" customFormat="false" ht="15" hidden="false" customHeight="true" outlineLevel="0" collapsed="false">
      <c r="B76" s="14" t="s">
        <v>72</v>
      </c>
      <c r="C76" s="14"/>
      <c r="D76" s="14"/>
      <c r="E76" s="14"/>
    </row>
    <row r="77" customFormat="false" ht="15" hidden="false" customHeight="true" outlineLevel="0" collapsed="false">
      <c r="B77" s="14" t="s">
        <v>73</v>
      </c>
      <c r="C77" s="14"/>
      <c r="D77" s="14"/>
      <c r="E77" s="14"/>
    </row>
    <row r="78" customFormat="false" ht="15" hidden="false" customHeight="true" outlineLevel="0" collapsed="false">
      <c r="B78" s="14" t="s">
        <v>74</v>
      </c>
      <c r="C78" s="14"/>
      <c r="D78" s="14"/>
      <c r="E78" s="14"/>
    </row>
    <row r="79" customFormat="false" ht="15" hidden="false" customHeight="true" outlineLevel="0" collapsed="false">
      <c r="B79" s="14" t="s">
        <v>75</v>
      </c>
      <c r="C79" s="14"/>
      <c r="D79" s="14"/>
      <c r="E79" s="14"/>
    </row>
    <row r="80" customFormat="false" ht="15" hidden="false" customHeight="true" outlineLevel="0" collapsed="false">
      <c r="B80" s="14" t="s">
        <v>76</v>
      </c>
      <c r="C80" s="14"/>
      <c r="D80" s="14"/>
      <c r="E80" s="14"/>
    </row>
    <row r="81" customFormat="false" ht="15" hidden="false" customHeight="true" outlineLevel="0" collapsed="false">
      <c r="B81" s="14" t="s">
        <v>77</v>
      </c>
      <c r="C81" s="14"/>
      <c r="D81" s="14"/>
      <c r="E81" s="14"/>
    </row>
    <row r="82" customFormat="false" ht="15" hidden="false" customHeight="true" outlineLevel="0" collapsed="false">
      <c r="B82" s="14" t="s">
        <v>78</v>
      </c>
      <c r="C82" s="14"/>
      <c r="D82" s="14"/>
      <c r="E82" s="14"/>
    </row>
    <row r="83" customFormat="false" ht="15" hidden="false" customHeight="true" outlineLevel="0" collapsed="false">
      <c r="B83" s="14" t="s">
        <v>79</v>
      </c>
      <c r="C83" s="14"/>
      <c r="D83" s="14"/>
      <c r="E83" s="14"/>
    </row>
    <row r="84" customFormat="false" ht="15" hidden="false" customHeight="true" outlineLevel="0" collapsed="false">
      <c r="B84" s="14" t="s">
        <v>80</v>
      </c>
      <c r="C84" s="14"/>
      <c r="D84" s="14"/>
      <c r="E84" s="14"/>
    </row>
    <row r="85" customFormat="false" ht="15" hidden="false" customHeight="true" outlineLevel="0" collapsed="false">
      <c r="B85" s="14" t="s">
        <v>81</v>
      </c>
      <c r="C85" s="14"/>
      <c r="D85" s="14"/>
      <c r="E85" s="14"/>
    </row>
    <row r="86" customFormat="false" ht="15" hidden="false" customHeight="true" outlineLevel="0" collapsed="false">
      <c r="B86" s="14" t="s">
        <v>82</v>
      </c>
      <c r="C86" s="14"/>
      <c r="D86" s="14"/>
      <c r="E86" s="14"/>
    </row>
    <row r="87" customFormat="false" ht="15" hidden="false" customHeight="true" outlineLevel="0" collapsed="false">
      <c r="B87" s="14" t="s">
        <v>83</v>
      </c>
      <c r="C87" s="14"/>
      <c r="D87" s="14"/>
      <c r="E87" s="14"/>
    </row>
    <row r="88" customFormat="false" ht="15" hidden="false" customHeight="true" outlineLevel="0" collapsed="false">
      <c r="B88" s="14" t="s">
        <v>77</v>
      </c>
      <c r="C88" s="14"/>
      <c r="D88" s="14"/>
      <c r="E88" s="14"/>
    </row>
    <row r="89" customFormat="false" ht="15" hidden="false" customHeight="true" outlineLevel="0" collapsed="false">
      <c r="B89" s="14" t="s">
        <v>84</v>
      </c>
      <c r="C89" s="14"/>
      <c r="D89" s="14"/>
      <c r="E89" s="14"/>
    </row>
    <row r="90" customFormat="false" ht="15" hidden="false" customHeight="true" outlineLevel="0" collapsed="false">
      <c r="B90" s="14" t="s">
        <v>85</v>
      </c>
      <c r="C90" s="14"/>
      <c r="D90" s="14"/>
      <c r="E90" s="14"/>
    </row>
    <row r="91" customFormat="false" ht="15" hidden="false" customHeight="true" outlineLevel="0" collapsed="false">
      <c r="B91" s="14" t="s">
        <v>86</v>
      </c>
      <c r="C91" s="14"/>
      <c r="D91" s="14"/>
      <c r="E91" s="14"/>
    </row>
    <row r="92" customFormat="false" ht="15" hidden="false" customHeight="true" outlineLevel="0" collapsed="false">
      <c r="B92" s="14" t="s">
        <v>87</v>
      </c>
      <c r="C92" s="14"/>
      <c r="D92" s="14"/>
      <c r="E92" s="14"/>
    </row>
    <row r="93" customFormat="false" ht="15" hidden="false" customHeight="true" outlineLevel="0" collapsed="false">
      <c r="B93" s="14" t="s">
        <v>88</v>
      </c>
      <c r="C93" s="14"/>
      <c r="D93" s="14"/>
      <c r="E93" s="14"/>
    </row>
    <row r="94" customFormat="false" ht="15" hidden="false" customHeight="true" outlineLevel="0" collapsed="false">
      <c r="B94" s="14" t="s">
        <v>89</v>
      </c>
      <c r="C94" s="14"/>
      <c r="D94" s="14"/>
      <c r="E94" s="14"/>
    </row>
    <row r="95" customFormat="false" ht="15" hidden="false" customHeight="true" outlineLevel="0" collapsed="false">
      <c r="B95" s="14" t="s">
        <v>90</v>
      </c>
      <c r="C95" s="14"/>
      <c r="D95" s="14"/>
      <c r="E95" s="14"/>
    </row>
    <row r="96" customFormat="false" ht="15" hidden="false" customHeight="true" outlineLevel="0" collapsed="false">
      <c r="B96" s="14" t="s">
        <v>91</v>
      </c>
      <c r="C96" s="14"/>
      <c r="D96" s="14"/>
      <c r="E96" s="14"/>
    </row>
    <row r="97" customFormat="false" ht="15" hidden="false" customHeight="true" outlineLevel="0" collapsed="false">
      <c r="B97" s="14" t="s">
        <v>92</v>
      </c>
      <c r="C97" s="14"/>
      <c r="D97" s="14"/>
      <c r="E97" s="14"/>
    </row>
    <row r="98" customFormat="false" ht="15" hidden="false" customHeight="true" outlineLevel="0" collapsed="false">
      <c r="B98" s="14" t="s">
        <v>93</v>
      </c>
      <c r="C98" s="14"/>
      <c r="D98" s="14"/>
      <c r="E98" s="14"/>
    </row>
    <row r="99" customFormat="false" ht="15" hidden="false" customHeight="true" outlineLevel="0" collapsed="false">
      <c r="B99" s="14" t="s">
        <v>94</v>
      </c>
      <c r="C99" s="14"/>
      <c r="D99" s="14"/>
      <c r="E99" s="14"/>
    </row>
    <row r="100" customFormat="false" ht="15" hidden="false" customHeight="true" outlineLevel="0" collapsed="false">
      <c r="B100" s="14" t="s">
        <v>77</v>
      </c>
      <c r="C100" s="14"/>
      <c r="D100" s="14"/>
      <c r="E100" s="14"/>
    </row>
    <row r="101" customFormat="false" ht="15" hidden="false" customHeight="true" outlineLevel="0" collapsed="false">
      <c r="B101" s="14" t="s">
        <v>95</v>
      </c>
      <c r="C101" s="14"/>
      <c r="D101" s="14"/>
      <c r="E101" s="14"/>
    </row>
    <row r="102" customFormat="false" ht="15" hidden="false" customHeight="true" outlineLevel="0" collapsed="false">
      <c r="B102" s="14" t="s">
        <v>96</v>
      </c>
      <c r="C102" s="14"/>
      <c r="D102" s="14"/>
      <c r="E102" s="14"/>
    </row>
    <row r="103" customFormat="false" ht="15" hidden="false" customHeight="true" outlineLevel="0" collapsed="false">
      <c r="B103" s="14" t="s">
        <v>97</v>
      </c>
      <c r="C103" s="14"/>
      <c r="D103" s="14"/>
      <c r="E103" s="14"/>
    </row>
    <row r="104" customFormat="false" ht="15" hidden="false" customHeight="true" outlineLevel="0" collapsed="false">
      <c r="B104" s="14" t="s">
        <v>98</v>
      </c>
      <c r="C104" s="14"/>
      <c r="D104" s="14"/>
      <c r="E104" s="14"/>
    </row>
    <row r="105" customFormat="false" ht="15" hidden="false" customHeight="true" outlineLevel="0" collapsed="false">
      <c r="B105" s="14" t="s">
        <v>99</v>
      </c>
      <c r="C105" s="14"/>
      <c r="D105" s="14"/>
      <c r="E105" s="14"/>
    </row>
    <row r="106" customFormat="false" ht="15" hidden="false" customHeight="true" outlineLevel="0" collapsed="false">
      <c r="B106" s="14" t="s">
        <v>55</v>
      </c>
      <c r="C106" s="14"/>
      <c r="D106" s="14"/>
      <c r="E106" s="14"/>
    </row>
    <row r="107" customFormat="false" ht="15" hidden="false" customHeight="true" outlineLevel="0" collapsed="false">
      <c r="B107" s="14" t="s">
        <v>100</v>
      </c>
      <c r="C107" s="14"/>
      <c r="D107" s="14"/>
      <c r="E107" s="14"/>
    </row>
    <row r="108" customFormat="false" ht="15" hidden="false" customHeight="true" outlineLevel="0" collapsed="false">
      <c r="B108" s="14" t="s">
        <v>77</v>
      </c>
      <c r="C108" s="14"/>
      <c r="D108" s="14"/>
      <c r="E108" s="14"/>
    </row>
    <row r="109" customFormat="false" ht="15" hidden="false" customHeight="true" outlineLevel="0" collapsed="false">
      <c r="B109" s="14" t="s">
        <v>101</v>
      </c>
      <c r="C109" s="14"/>
      <c r="D109" s="14"/>
      <c r="E109" s="14"/>
    </row>
    <row r="110" customFormat="false" ht="15" hidden="false" customHeight="true" outlineLevel="0" collapsed="false">
      <c r="B110" s="14" t="s">
        <v>102</v>
      </c>
      <c r="C110" s="14"/>
      <c r="D110" s="14"/>
      <c r="E110" s="14"/>
    </row>
    <row r="111" customFormat="false" ht="15" hidden="false" customHeight="true" outlineLevel="0" collapsed="false">
      <c r="B111" s="14" t="s">
        <v>103</v>
      </c>
      <c r="C111" s="14"/>
      <c r="D111" s="14"/>
      <c r="E111" s="14"/>
    </row>
    <row r="112" customFormat="false" ht="15" hidden="false" customHeight="true" outlineLevel="0" collapsed="false">
      <c r="B112" s="14" t="s">
        <v>104</v>
      </c>
      <c r="C112" s="14"/>
      <c r="D112" s="14"/>
      <c r="E112" s="14"/>
    </row>
    <row r="113" customFormat="false" ht="15" hidden="false" customHeight="true" outlineLevel="0" collapsed="false">
      <c r="B113" s="14" t="s">
        <v>105</v>
      </c>
      <c r="C113" s="14"/>
      <c r="D113" s="14"/>
      <c r="E113" s="14"/>
    </row>
    <row r="114" customFormat="false" ht="15" hidden="false" customHeight="true" outlineLevel="0" collapsed="false">
      <c r="B114" s="14" t="s">
        <v>106</v>
      </c>
      <c r="C114" s="14"/>
      <c r="D114" s="14"/>
      <c r="E114" s="14"/>
    </row>
    <row r="115" customFormat="false" ht="15" hidden="false" customHeight="true" outlineLevel="0" collapsed="false">
      <c r="B115" s="14" t="s">
        <v>94</v>
      </c>
      <c r="C115" s="14"/>
      <c r="D115" s="14"/>
      <c r="E115" s="14"/>
    </row>
    <row r="116" customFormat="false" ht="15" hidden="false" customHeight="true" outlineLevel="0" collapsed="false">
      <c r="B116" s="14" t="s">
        <v>77</v>
      </c>
      <c r="C116" s="14"/>
      <c r="D116" s="14"/>
      <c r="E116" s="14"/>
    </row>
    <row r="117" customFormat="false" ht="15" hidden="false" customHeight="true" outlineLevel="0" collapsed="false">
      <c r="B117" s="14" t="s">
        <v>107</v>
      </c>
      <c r="C117" s="14"/>
      <c r="D117" s="14"/>
      <c r="E117" s="14"/>
    </row>
    <row r="118" customFormat="false" ht="15" hidden="false" customHeight="true" outlineLevel="0" collapsed="false">
      <c r="B118" s="14" t="s">
        <v>57</v>
      </c>
      <c r="C118" s="14"/>
      <c r="D118" s="14"/>
      <c r="E118" s="14"/>
    </row>
    <row r="120" customFormat="false" ht="15" hidden="false" customHeight="true" outlineLevel="0" collapsed="false">
      <c r="B120" s="15" t="s">
        <v>46</v>
      </c>
      <c r="C120" s="15"/>
      <c r="D120" s="15"/>
      <c r="E120" s="15"/>
    </row>
    <row r="121" customFormat="false" ht="15" hidden="false" customHeight="true" outlineLevel="0" collapsed="false">
      <c r="B121" s="4" t="s">
        <v>108</v>
      </c>
      <c r="C121" s="4"/>
      <c r="D121" s="4"/>
      <c r="E121" s="4"/>
    </row>
  </sheetData>
  <mergeCells count="103">
    <mergeCell ref="B2:E2"/>
    <mergeCell ref="B3:E3"/>
    <mergeCell ref="B4:E4"/>
    <mergeCell ref="B6:E6"/>
    <mergeCell ref="B16:E16"/>
    <mergeCell ref="B22:E22"/>
    <mergeCell ref="B23:E23"/>
    <mergeCell ref="B24:E24"/>
    <mergeCell ref="B25:E25"/>
    <mergeCell ref="B26:E26"/>
    <mergeCell ref="B27:E27"/>
    <mergeCell ref="B28:E28"/>
    <mergeCell ref="B29:E29"/>
    <mergeCell ref="B31:E31"/>
    <mergeCell ref="B32:E32"/>
    <mergeCell ref="B33:E33"/>
    <mergeCell ref="B34:E34"/>
    <mergeCell ref="B35:E35"/>
    <mergeCell ref="B36:E36"/>
    <mergeCell ref="B37:E37"/>
    <mergeCell ref="B38:E38"/>
    <mergeCell ref="B39:E39"/>
    <mergeCell ref="B40:E40"/>
    <mergeCell ref="B41:E41"/>
    <mergeCell ref="B42:E42"/>
    <mergeCell ref="B43:E43"/>
    <mergeCell ref="B44:E44"/>
    <mergeCell ref="B45:E45"/>
    <mergeCell ref="B46:E46"/>
    <mergeCell ref="B47:E47"/>
    <mergeCell ref="B48:E48"/>
    <mergeCell ref="B49:E49"/>
    <mergeCell ref="B50:E50"/>
    <mergeCell ref="B51:E51"/>
    <mergeCell ref="B52:E52"/>
    <mergeCell ref="B53:E53"/>
    <mergeCell ref="B54:E54"/>
    <mergeCell ref="B55:E55"/>
    <mergeCell ref="B56:E56"/>
    <mergeCell ref="B57:E57"/>
    <mergeCell ref="B58:E58"/>
    <mergeCell ref="B59:E59"/>
    <mergeCell ref="B60:E60"/>
    <mergeCell ref="B61:E61"/>
    <mergeCell ref="B62:E62"/>
    <mergeCell ref="B63:E63"/>
    <mergeCell ref="B64:E64"/>
    <mergeCell ref="B65:E65"/>
    <mergeCell ref="B66:E66"/>
    <mergeCell ref="B67:E67"/>
    <mergeCell ref="B68:E68"/>
    <mergeCell ref="B69:E69"/>
    <mergeCell ref="B70:E70"/>
    <mergeCell ref="B71:E71"/>
    <mergeCell ref="B72:E72"/>
    <mergeCell ref="B73:E73"/>
    <mergeCell ref="B74:E74"/>
    <mergeCell ref="B75:E75"/>
    <mergeCell ref="B76:E76"/>
    <mergeCell ref="B77:E77"/>
    <mergeCell ref="B78:E78"/>
    <mergeCell ref="B79:E79"/>
    <mergeCell ref="B80:E80"/>
    <mergeCell ref="B81:E81"/>
    <mergeCell ref="B82:E82"/>
    <mergeCell ref="B83:E83"/>
    <mergeCell ref="B84:E84"/>
    <mergeCell ref="B85:E85"/>
    <mergeCell ref="B86:E86"/>
    <mergeCell ref="B87:E87"/>
    <mergeCell ref="B88:E88"/>
    <mergeCell ref="B89:E89"/>
    <mergeCell ref="B90:E90"/>
    <mergeCell ref="B91:E91"/>
    <mergeCell ref="B92:E92"/>
    <mergeCell ref="B93:E93"/>
    <mergeCell ref="B94:E94"/>
    <mergeCell ref="B95:E95"/>
    <mergeCell ref="B96:E96"/>
    <mergeCell ref="B97:E97"/>
    <mergeCell ref="B98:E98"/>
    <mergeCell ref="B99:E99"/>
    <mergeCell ref="B100:E100"/>
    <mergeCell ref="B101:E101"/>
    <mergeCell ref="B102:E102"/>
    <mergeCell ref="B103:E103"/>
    <mergeCell ref="B104:E104"/>
    <mergeCell ref="B105:E105"/>
    <mergeCell ref="B106:E106"/>
    <mergeCell ref="B107:E107"/>
    <mergeCell ref="B108:E108"/>
    <mergeCell ref="B109:E109"/>
    <mergeCell ref="B110:E110"/>
    <mergeCell ref="B111:E111"/>
    <mergeCell ref="B112:E112"/>
    <mergeCell ref="B113:E113"/>
    <mergeCell ref="B114:E114"/>
    <mergeCell ref="B115:E115"/>
    <mergeCell ref="B116:E116"/>
    <mergeCell ref="B117:E117"/>
    <mergeCell ref="B118:E118"/>
    <mergeCell ref="B120:E120"/>
    <mergeCell ref="B121:E121"/>
  </mergeCells>
  <hyperlinks>
    <hyperlink ref="B8" location="'Instructions'!B2" display="Instructions"/>
    <hyperlink ref="B9" location="'Property Inputs'!B2" display="Property Inputs"/>
    <hyperlink ref="B10" location="'T-12 &amp; Rent Roll'!B2" display="T-12 &amp; Rent Roll"/>
    <hyperlink ref="B11" location="'DCF Projections'!B2" display="DCF Projections"/>
    <hyperlink ref="B12" location="'Sensitivity'!B2" display="Sensitivity"/>
    <hyperlink ref="B13" location="'Returns &amp; Risk'!B2" display="Returns &amp; Risk"/>
    <hyperlink ref="B14" location="'Dashboard'!B2" display="Dashboard"/>
  </hyperlink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1696F"/>
    <pageSetUpPr fitToPage="false"/>
  </sheetPr>
  <dimension ref="B2:I4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" width="3"/>
    <col collapsed="false" customWidth="true" hidden="false" outlineLevel="0" max="2" min="2" style="1" width="35"/>
    <col collapsed="false" customWidth="true" hidden="false" outlineLevel="0" max="3" min="3" style="1" width="20"/>
    <col collapsed="false" customWidth="true" hidden="false" outlineLevel="0" max="7" min="4" style="1" width="5"/>
    <col collapsed="false" customWidth="true" hidden="false" outlineLevel="0" max="8" min="8" style="1" width="35"/>
    <col collapsed="false" customWidth="true" hidden="false" outlineLevel="0" max="9" min="9" style="1" width="20"/>
  </cols>
  <sheetData>
    <row r="2" customFormat="false" ht="34.5" hidden="false" customHeight="true" outlineLevel="0" collapsed="false">
      <c r="B2" s="16" t="s">
        <v>109</v>
      </c>
      <c r="C2" s="16"/>
    </row>
    <row r="3" customFormat="false" ht="15" hidden="false" customHeight="true" outlineLevel="0" collapsed="false">
      <c r="B3" s="4" t="s">
        <v>110</v>
      </c>
      <c r="C3" s="4"/>
    </row>
    <row r="5" customFormat="false" ht="15.75" hidden="false" customHeight="true" outlineLevel="0" collapsed="false">
      <c r="B5" s="5" t="s">
        <v>111</v>
      </c>
      <c r="C5" s="5"/>
      <c r="H5" s="5" t="s">
        <v>112</v>
      </c>
      <c r="I5" s="5"/>
    </row>
    <row r="6" customFormat="false" ht="15" hidden="false" customHeight="true" outlineLevel="0" collapsed="false">
      <c r="B6" s="8" t="s">
        <v>113</v>
      </c>
      <c r="C6" s="17" t="s">
        <v>114</v>
      </c>
      <c r="H6" s="8" t="s">
        <v>115</v>
      </c>
      <c r="I6" s="18" t="n">
        <v>0.04</v>
      </c>
    </row>
    <row r="7" customFormat="false" ht="15" hidden="false" customHeight="true" outlineLevel="0" collapsed="false">
      <c r="B7" s="8" t="s">
        <v>116</v>
      </c>
      <c r="C7" s="17" t="s">
        <v>117</v>
      </c>
      <c r="H7" s="8" t="s">
        <v>118</v>
      </c>
      <c r="I7" s="18" t="n">
        <v>0.08</v>
      </c>
    </row>
    <row r="8" customFormat="false" ht="15" hidden="false" customHeight="true" outlineLevel="0" collapsed="false">
      <c r="B8" s="8" t="s">
        <v>119</v>
      </c>
      <c r="C8" s="17" t="s">
        <v>120</v>
      </c>
      <c r="H8" s="8" t="s">
        <v>121</v>
      </c>
      <c r="I8" s="18" t="n">
        <v>0.005</v>
      </c>
    </row>
    <row r="9" customFormat="false" ht="15" hidden="false" customHeight="true" outlineLevel="0" collapsed="false">
      <c r="B9" s="8" t="s">
        <v>122</v>
      </c>
      <c r="C9" s="19" t="n">
        <v>20</v>
      </c>
      <c r="H9" s="8" t="s">
        <v>123</v>
      </c>
      <c r="I9" s="18" t="n">
        <v>0</v>
      </c>
    </row>
    <row r="10" customFormat="false" ht="15" hidden="false" customHeight="true" outlineLevel="0" collapsed="false">
      <c r="B10" s="8" t="s">
        <v>124</v>
      </c>
      <c r="C10" s="19" t="n">
        <v>25000</v>
      </c>
      <c r="H10" s="8" t="s">
        <v>125</v>
      </c>
      <c r="I10" s="18" t="n">
        <v>0.04</v>
      </c>
    </row>
    <row r="11" customFormat="false" ht="15" hidden="false" customHeight="true" outlineLevel="0" collapsed="false">
      <c r="B11" s="8" t="s">
        <v>126</v>
      </c>
      <c r="C11" s="20" t="n">
        <v>1995</v>
      </c>
      <c r="H11" s="8" t="s">
        <v>127</v>
      </c>
      <c r="I11" s="18" t="n">
        <v>0.01</v>
      </c>
    </row>
    <row r="12" customFormat="false" ht="15" hidden="false" customHeight="true" outlineLevel="0" collapsed="false">
      <c r="B12" s="8" t="s">
        <v>128</v>
      </c>
      <c r="C12" s="21" t="n">
        <v>1.5</v>
      </c>
      <c r="H12" s="8" t="s">
        <v>129</v>
      </c>
      <c r="I12" s="18" t="n">
        <v>0.05</v>
      </c>
    </row>
    <row r="14" customFormat="false" ht="15.75" hidden="false" customHeight="true" outlineLevel="0" collapsed="false">
      <c r="B14" s="5" t="s">
        <v>130</v>
      </c>
      <c r="C14" s="5"/>
      <c r="H14" s="5" t="s">
        <v>131</v>
      </c>
      <c r="I14" s="5"/>
    </row>
    <row r="15" customFormat="false" ht="15" hidden="false" customHeight="true" outlineLevel="0" collapsed="false">
      <c r="B15" s="8" t="s">
        <v>132</v>
      </c>
      <c r="C15" s="22" t="n">
        <v>3500000</v>
      </c>
      <c r="H15" s="8" t="s">
        <v>133</v>
      </c>
      <c r="I15" s="19" t="n">
        <v>1000</v>
      </c>
    </row>
    <row r="16" customFormat="false" ht="15" hidden="false" customHeight="true" outlineLevel="0" collapsed="false">
      <c r="B16" s="8" t="s">
        <v>134</v>
      </c>
      <c r="C16" s="18" t="n">
        <v>0.02</v>
      </c>
      <c r="H16" s="8" t="s">
        <v>135</v>
      </c>
      <c r="I16" s="18" t="n">
        <v>0.01</v>
      </c>
    </row>
    <row r="17" customFormat="false" ht="15" hidden="false" customHeight="true" outlineLevel="0" collapsed="false">
      <c r="B17" s="8" t="s">
        <v>136</v>
      </c>
      <c r="C17" s="18" t="n">
        <v>0.03</v>
      </c>
      <c r="H17" s="8" t="s">
        <v>137</v>
      </c>
      <c r="I17" s="18" t="n">
        <v>0.01</v>
      </c>
    </row>
    <row r="18" customFormat="false" ht="15" hidden="false" customHeight="true" outlineLevel="0" collapsed="false">
      <c r="B18" s="8" t="s">
        <v>138</v>
      </c>
      <c r="C18" s="18" t="n">
        <v>0.065</v>
      </c>
      <c r="H18" s="8" t="s">
        <v>139</v>
      </c>
      <c r="I18" s="18" t="n">
        <v>0.005</v>
      </c>
    </row>
    <row r="19" customFormat="false" ht="15" hidden="false" customHeight="true" outlineLevel="0" collapsed="false">
      <c r="B19" s="8" t="s">
        <v>140</v>
      </c>
      <c r="C19" s="18" t="n">
        <v>0.06</v>
      </c>
      <c r="H19" s="8" t="s">
        <v>141</v>
      </c>
      <c r="I19" s="18" t="n">
        <v>0.005</v>
      </c>
    </row>
    <row r="20" customFormat="false" ht="15" hidden="false" customHeight="true" outlineLevel="0" collapsed="false">
      <c r="B20" s="8" t="s">
        <v>142</v>
      </c>
      <c r="C20" s="18" t="n">
        <v>0.05</v>
      </c>
    </row>
    <row r="21" customFormat="false" ht="15" hidden="false" customHeight="true" outlineLevel="0" collapsed="false">
      <c r="B21" s="8" t="s">
        <v>143</v>
      </c>
      <c r="C21" s="18" t="n">
        <v>0.08</v>
      </c>
    </row>
    <row r="22" customFormat="false" ht="15" hidden="false" customHeight="true" outlineLevel="0" collapsed="false">
      <c r="B22" s="8" t="s">
        <v>144</v>
      </c>
      <c r="C22" s="22" t="n">
        <v>250</v>
      </c>
    </row>
    <row r="23" customFormat="false" ht="15" hidden="false" customHeight="true" outlineLevel="0" collapsed="false">
      <c r="B23" s="8" t="s">
        <v>145</v>
      </c>
      <c r="C23" s="18" t="n">
        <v>0.03</v>
      </c>
    </row>
    <row r="24" customFormat="false" ht="15" hidden="false" customHeight="true" outlineLevel="0" collapsed="false">
      <c r="B24" s="8" t="s">
        <v>146</v>
      </c>
      <c r="C24" s="22" t="n">
        <v>200000</v>
      </c>
    </row>
    <row r="25" customFormat="false" ht="15" hidden="false" customHeight="true" outlineLevel="0" collapsed="false">
      <c r="B25" s="8" t="s">
        <v>147</v>
      </c>
      <c r="C25" s="18" t="n">
        <v>0.1</v>
      </c>
    </row>
    <row r="26" customFormat="false" ht="15" hidden="false" customHeight="true" outlineLevel="0" collapsed="false">
      <c r="B26" s="8" t="s">
        <v>148</v>
      </c>
      <c r="C26" s="20" t="n">
        <v>10</v>
      </c>
    </row>
    <row r="28" customFormat="false" ht="15.75" hidden="false" customHeight="true" outlineLevel="0" collapsed="false">
      <c r="B28" s="5" t="s">
        <v>149</v>
      </c>
      <c r="C28" s="5"/>
    </row>
    <row r="29" customFormat="false" ht="15" hidden="false" customHeight="true" outlineLevel="0" collapsed="false">
      <c r="B29" s="8" t="s">
        <v>150</v>
      </c>
      <c r="C29" s="18" t="n">
        <v>0.75</v>
      </c>
    </row>
    <row r="30" customFormat="false" ht="15" hidden="false" customHeight="true" outlineLevel="0" collapsed="false">
      <c r="B30" s="8" t="s">
        <v>151</v>
      </c>
      <c r="C30" s="18" t="n">
        <v>0.055</v>
      </c>
    </row>
    <row r="31" customFormat="false" ht="15" hidden="false" customHeight="true" outlineLevel="0" collapsed="false">
      <c r="B31" s="8" t="s">
        <v>152</v>
      </c>
      <c r="C31" s="20" t="n">
        <v>30</v>
      </c>
    </row>
    <row r="32" customFormat="false" ht="15" hidden="false" customHeight="true" outlineLevel="0" collapsed="false">
      <c r="B32" s="8" t="s">
        <v>153</v>
      </c>
      <c r="C32" s="20" t="n">
        <v>10</v>
      </c>
    </row>
    <row r="33" customFormat="false" ht="15" hidden="false" customHeight="true" outlineLevel="0" collapsed="false">
      <c r="B33" s="8" t="s">
        <v>154</v>
      </c>
      <c r="C33" s="20" t="n">
        <v>0</v>
      </c>
    </row>
    <row r="35" customFormat="false" ht="15.75" hidden="false" customHeight="true" outlineLevel="0" collapsed="false">
      <c r="B35" s="5" t="s">
        <v>155</v>
      </c>
      <c r="C35" s="5"/>
    </row>
    <row r="36" customFormat="false" ht="15" hidden="false" customHeight="true" outlineLevel="0" collapsed="false">
      <c r="B36" s="8" t="s">
        <v>156</v>
      </c>
      <c r="C36" s="23" t="n">
        <f aca="false">C15*C29</f>
        <v>2625000</v>
      </c>
    </row>
    <row r="37" customFormat="false" ht="15" hidden="false" customHeight="true" outlineLevel="0" collapsed="false">
      <c r="B37" s="8" t="s">
        <v>157</v>
      </c>
      <c r="C37" s="23" t="n">
        <f aca="false">C15*(1-C29)+C15*C23+C24</f>
        <v>1180000</v>
      </c>
    </row>
    <row r="38" customFormat="false" ht="15" hidden="false" customHeight="true" outlineLevel="0" collapsed="false">
      <c r="B38" s="8" t="s">
        <v>158</v>
      </c>
      <c r="C38" s="23" t="n">
        <f aca="false">C15+C15*C23+C24</f>
        <v>3805000</v>
      </c>
    </row>
    <row r="39" customFormat="false" ht="15" hidden="false" customHeight="true" outlineLevel="0" collapsed="false">
      <c r="B39" s="8" t="s">
        <v>159</v>
      </c>
      <c r="C39" s="24" t="n">
        <f aca="false">IF(C30=0,0,PMT(C30/12,C31*12,-C36))</f>
        <v>14904.4612853588</v>
      </c>
    </row>
    <row r="40" customFormat="false" ht="15" hidden="false" customHeight="true" outlineLevel="0" collapsed="false">
      <c r="B40" s="8" t="s">
        <v>160</v>
      </c>
      <c r="C40" s="23" t="n">
        <f aca="false">C39*12</f>
        <v>178853.535424306</v>
      </c>
    </row>
  </sheetData>
  <mergeCells count="8">
    <mergeCell ref="B2:C2"/>
    <mergeCell ref="B3:C3"/>
    <mergeCell ref="B5:C5"/>
    <mergeCell ref="H5:I5"/>
    <mergeCell ref="B14:C14"/>
    <mergeCell ref="H14:I14"/>
    <mergeCell ref="B28:C28"/>
    <mergeCell ref="B35:C35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A84B2F"/>
    <pageSetUpPr fitToPage="false"/>
  </sheetPr>
  <dimension ref="B2:O5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31" topLeftCell="C32" activePane="bottomRight" state="frozen"/>
      <selection pane="topLeft" activeCell="A1" activeCellId="0" sqref="A1"/>
      <selection pane="topRight" activeCell="C1" activeCellId="0" sqref="C1"/>
      <selection pane="bottomLeft" activeCell="A32" activeCellId="0" sqref="A32"/>
      <selection pane="bottomRigh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" width="3"/>
    <col collapsed="false" customWidth="true" hidden="false" outlineLevel="0" max="2" min="2" style="1" width="28"/>
    <col collapsed="false" customWidth="true" hidden="false" outlineLevel="0" max="14" min="3" style="1" width="14"/>
    <col collapsed="false" customWidth="true" hidden="false" outlineLevel="0" max="15" min="15" style="1" width="16"/>
  </cols>
  <sheetData>
    <row r="2" customFormat="false" ht="34.5" hidden="false" customHeight="true" outlineLevel="0" collapsed="false">
      <c r="B2" s="16" t="s">
        <v>161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</row>
    <row r="3" customFormat="false" ht="15" hidden="false" customHeight="true" outlineLevel="0" collapsed="false">
      <c r="B3" s="4" t="s">
        <v>162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5" customFormat="false" ht="15" hidden="false" customHeight="true" outlineLevel="0" collapsed="false">
      <c r="B5" s="6" t="s">
        <v>163</v>
      </c>
      <c r="C5" s="6" t="s">
        <v>164</v>
      </c>
      <c r="D5" s="6" t="s">
        <v>165</v>
      </c>
      <c r="E5" s="6" t="s">
        <v>166</v>
      </c>
      <c r="F5" s="6" t="s">
        <v>167</v>
      </c>
      <c r="G5" s="6" t="s">
        <v>168</v>
      </c>
      <c r="H5" s="6" t="s">
        <v>169</v>
      </c>
      <c r="I5" s="6" t="s">
        <v>170</v>
      </c>
      <c r="J5" s="6" t="s">
        <v>171</v>
      </c>
      <c r="K5" s="6" t="s">
        <v>172</v>
      </c>
      <c r="L5" s="6" t="s">
        <v>173</v>
      </c>
      <c r="M5" s="6" t="s">
        <v>174</v>
      </c>
      <c r="N5" s="6" t="s">
        <v>175</v>
      </c>
      <c r="O5" s="6" t="s">
        <v>176</v>
      </c>
    </row>
    <row r="6" customFormat="false" ht="15.75" hidden="false" customHeight="true" outlineLevel="0" collapsed="false">
      <c r="B6" s="5" t="s">
        <v>177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customFormat="false" ht="15" hidden="false" customHeight="true" outlineLevel="0" collapsed="false">
      <c r="B7" s="8" t="s">
        <v>178</v>
      </c>
      <c r="C7" s="22" t="n">
        <v>18000</v>
      </c>
      <c r="D7" s="22" t="n">
        <v>18000</v>
      </c>
      <c r="E7" s="22" t="n">
        <v>18200</v>
      </c>
      <c r="F7" s="22" t="n">
        <v>18200</v>
      </c>
      <c r="G7" s="22" t="n">
        <v>18500</v>
      </c>
      <c r="H7" s="22" t="n">
        <v>18500</v>
      </c>
      <c r="I7" s="22" t="n">
        <v>18500</v>
      </c>
      <c r="J7" s="22" t="n">
        <v>18700</v>
      </c>
      <c r="K7" s="22" t="n">
        <v>18700</v>
      </c>
      <c r="L7" s="22" t="n">
        <v>18700</v>
      </c>
      <c r="M7" s="22" t="n">
        <v>19000</v>
      </c>
      <c r="N7" s="22" t="n">
        <v>19000</v>
      </c>
      <c r="O7" s="25" t="n">
        <f aca="false">SUM(C7:N7)</f>
        <v>222000</v>
      </c>
    </row>
    <row r="8" customFormat="false" ht="15" hidden="false" customHeight="true" outlineLevel="0" collapsed="false">
      <c r="B8" s="8" t="s">
        <v>179</v>
      </c>
      <c r="C8" s="22" t="n">
        <v>800</v>
      </c>
      <c r="D8" s="22" t="n">
        <v>750</v>
      </c>
      <c r="E8" s="22" t="n">
        <v>800</v>
      </c>
      <c r="F8" s="22" t="n">
        <v>850</v>
      </c>
      <c r="G8" s="22" t="n">
        <v>900</v>
      </c>
      <c r="H8" s="22" t="n">
        <v>900</v>
      </c>
      <c r="I8" s="22" t="n">
        <v>950</v>
      </c>
      <c r="J8" s="22" t="n">
        <v>950</v>
      </c>
      <c r="K8" s="22" t="n">
        <v>900</v>
      </c>
      <c r="L8" s="22" t="n">
        <v>850</v>
      </c>
      <c r="M8" s="22" t="n">
        <v>800</v>
      </c>
      <c r="N8" s="22" t="n">
        <v>800</v>
      </c>
      <c r="O8" s="25" t="n">
        <f aca="false">SUM(C8:N8)</f>
        <v>10250</v>
      </c>
    </row>
    <row r="9" customFormat="false" ht="15" hidden="false" customHeight="true" outlineLevel="0" collapsed="false">
      <c r="B9" s="8" t="s">
        <v>180</v>
      </c>
      <c r="C9" s="22" t="n">
        <v>200</v>
      </c>
      <c r="D9" s="22" t="n">
        <v>150</v>
      </c>
      <c r="E9" s="22" t="n">
        <v>100</v>
      </c>
      <c r="F9" s="22" t="n">
        <v>200</v>
      </c>
      <c r="G9" s="22" t="n">
        <v>150</v>
      </c>
      <c r="H9" s="22" t="n">
        <v>100</v>
      </c>
      <c r="I9" s="22" t="n">
        <v>150</v>
      </c>
      <c r="J9" s="22" t="n">
        <v>200</v>
      </c>
      <c r="K9" s="22" t="n">
        <v>100</v>
      </c>
      <c r="L9" s="22" t="n">
        <v>150</v>
      </c>
      <c r="M9" s="22" t="n">
        <v>200</v>
      </c>
      <c r="N9" s="22" t="n">
        <v>150</v>
      </c>
      <c r="O9" s="25" t="n">
        <f aca="false">SUM(C9:N9)</f>
        <v>1850</v>
      </c>
    </row>
    <row r="10" customFormat="false" ht="15" hidden="false" customHeight="true" outlineLevel="0" collapsed="false">
      <c r="B10" s="26" t="s">
        <v>181</v>
      </c>
      <c r="C10" s="25" t="n">
        <f aca="false">SUM(C7:C9)</f>
        <v>19000</v>
      </c>
      <c r="D10" s="25" t="n">
        <f aca="false">SUM(D7:D9)</f>
        <v>18900</v>
      </c>
      <c r="E10" s="25" t="n">
        <f aca="false">SUM(E7:E9)</f>
        <v>19100</v>
      </c>
      <c r="F10" s="25" t="n">
        <f aca="false">SUM(F7:F9)</f>
        <v>19250</v>
      </c>
      <c r="G10" s="25" t="n">
        <f aca="false">SUM(G7:G9)</f>
        <v>19550</v>
      </c>
      <c r="H10" s="25" t="n">
        <f aca="false">SUM(H7:H9)</f>
        <v>19500</v>
      </c>
      <c r="I10" s="25" t="n">
        <f aca="false">SUM(I7:I9)</f>
        <v>19600</v>
      </c>
      <c r="J10" s="25" t="n">
        <f aca="false">SUM(J7:J9)</f>
        <v>19850</v>
      </c>
      <c r="K10" s="25" t="n">
        <f aca="false">SUM(K7:K9)</f>
        <v>19700</v>
      </c>
      <c r="L10" s="25" t="n">
        <f aca="false">SUM(L7:L9)</f>
        <v>19700</v>
      </c>
      <c r="M10" s="25" t="n">
        <f aca="false">SUM(M7:M9)</f>
        <v>20000</v>
      </c>
      <c r="N10" s="25" t="n">
        <f aca="false">SUM(N7:N9)</f>
        <v>19950</v>
      </c>
      <c r="O10" s="27" t="n">
        <f aca="false">SUM(C10:N10)</f>
        <v>234100</v>
      </c>
    </row>
    <row r="11" customFormat="false" ht="15" hidden="false" customHeight="true" outlineLevel="0" collapsed="false">
      <c r="B11" s="8" t="s">
        <v>182</v>
      </c>
      <c r="C11" s="23" t="n">
        <f aca="false">-C10*'Property Inputs'!C18</f>
        <v>-1235</v>
      </c>
      <c r="D11" s="23" t="n">
        <f aca="false">-D10*'Property Inputs'!C18</f>
        <v>-1228.5</v>
      </c>
      <c r="E11" s="23" t="n">
        <f aca="false">-E10*'Property Inputs'!C18</f>
        <v>-1241.5</v>
      </c>
      <c r="F11" s="23" t="n">
        <f aca="false">-F10*'Property Inputs'!C18</f>
        <v>-1251.25</v>
      </c>
      <c r="G11" s="23" t="n">
        <f aca="false">-G10*'Property Inputs'!C18</f>
        <v>-1270.75</v>
      </c>
      <c r="H11" s="23" t="n">
        <f aca="false">-H10*'Property Inputs'!C18</f>
        <v>-1267.5</v>
      </c>
      <c r="I11" s="23" t="n">
        <f aca="false">-I10*'Property Inputs'!C18</f>
        <v>-1274</v>
      </c>
      <c r="J11" s="23" t="n">
        <f aca="false">-J10*'Property Inputs'!C18</f>
        <v>-1290.25</v>
      </c>
      <c r="K11" s="23" t="n">
        <f aca="false">-K10*'Property Inputs'!C18</f>
        <v>-1280.5</v>
      </c>
      <c r="L11" s="23" t="n">
        <f aca="false">-L10*'Property Inputs'!C18</f>
        <v>-1280.5</v>
      </c>
      <c r="M11" s="23" t="n">
        <f aca="false">-M10*'Property Inputs'!C18</f>
        <v>-1300</v>
      </c>
      <c r="N11" s="23" t="n">
        <f aca="false">-N10*'Property Inputs'!C18</f>
        <v>-1296.75</v>
      </c>
      <c r="O11" s="28" t="n">
        <f aca="false">SUM(C11:N11)</f>
        <v>-15216.5</v>
      </c>
    </row>
    <row r="12" customFormat="false" ht="15" hidden="false" customHeight="true" outlineLevel="0" collapsed="false">
      <c r="B12" s="26" t="s">
        <v>183</v>
      </c>
      <c r="C12" s="25" t="n">
        <f aca="false">C10+C11</f>
        <v>17765</v>
      </c>
      <c r="D12" s="25" t="n">
        <f aca="false">D10+D11</f>
        <v>17671.5</v>
      </c>
      <c r="E12" s="25" t="n">
        <f aca="false">E10+E11</f>
        <v>17858.5</v>
      </c>
      <c r="F12" s="25" t="n">
        <f aca="false">F10+F11</f>
        <v>17998.75</v>
      </c>
      <c r="G12" s="25" t="n">
        <f aca="false">G10+G11</f>
        <v>18279.25</v>
      </c>
      <c r="H12" s="25" t="n">
        <f aca="false">H10+H11</f>
        <v>18232.5</v>
      </c>
      <c r="I12" s="25" t="n">
        <f aca="false">I10+I11</f>
        <v>18326</v>
      </c>
      <c r="J12" s="25" t="n">
        <f aca="false">J10+J11</f>
        <v>18559.75</v>
      </c>
      <c r="K12" s="25" t="n">
        <f aca="false">K10+K11</f>
        <v>18419.5</v>
      </c>
      <c r="L12" s="25" t="n">
        <f aca="false">L10+L11</f>
        <v>18419.5</v>
      </c>
      <c r="M12" s="25" t="n">
        <f aca="false">M10+M11</f>
        <v>18700</v>
      </c>
      <c r="N12" s="25" t="n">
        <f aca="false">N10+N11</f>
        <v>18653.25</v>
      </c>
      <c r="O12" s="27" t="n">
        <f aca="false">SUM(C12:N12)</f>
        <v>218883.5</v>
      </c>
    </row>
    <row r="14" customFormat="false" ht="15.75" hidden="false" customHeight="true" outlineLevel="0" collapsed="false">
      <c r="B14" s="5" t="s">
        <v>184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</row>
    <row r="15" customFormat="false" ht="15" hidden="false" customHeight="true" outlineLevel="0" collapsed="false">
      <c r="B15" s="8" t="s">
        <v>185</v>
      </c>
      <c r="C15" s="22" t="n">
        <v>1500</v>
      </c>
      <c r="D15" s="22" t="n">
        <v>1500</v>
      </c>
      <c r="E15" s="22" t="n">
        <v>1500</v>
      </c>
      <c r="F15" s="22" t="n">
        <v>1500</v>
      </c>
      <c r="G15" s="22" t="n">
        <v>1500</v>
      </c>
      <c r="H15" s="22" t="n">
        <v>1500</v>
      </c>
      <c r="I15" s="22" t="n">
        <v>1500</v>
      </c>
      <c r="J15" s="22" t="n">
        <v>1500</v>
      </c>
      <c r="K15" s="22" t="n">
        <v>1500</v>
      </c>
      <c r="L15" s="22" t="n">
        <v>1500</v>
      </c>
      <c r="M15" s="22" t="n">
        <v>1500</v>
      </c>
      <c r="N15" s="22" t="n">
        <v>1500</v>
      </c>
      <c r="O15" s="23" t="n">
        <f aca="false">SUM(C15:N15)</f>
        <v>18000</v>
      </c>
    </row>
    <row r="16" customFormat="false" ht="15" hidden="false" customHeight="true" outlineLevel="0" collapsed="false">
      <c r="B16" s="8" t="s">
        <v>186</v>
      </c>
      <c r="C16" s="22" t="n">
        <v>2000</v>
      </c>
      <c r="D16" s="22" t="n">
        <v>2000</v>
      </c>
      <c r="E16" s="22" t="n">
        <v>2000</v>
      </c>
      <c r="F16" s="22" t="n">
        <v>2000</v>
      </c>
      <c r="G16" s="22" t="n">
        <v>2000</v>
      </c>
      <c r="H16" s="22" t="n">
        <v>2000</v>
      </c>
      <c r="I16" s="22" t="n">
        <v>2000</v>
      </c>
      <c r="J16" s="22" t="n">
        <v>2000</v>
      </c>
      <c r="K16" s="22" t="n">
        <v>2000</v>
      </c>
      <c r="L16" s="22" t="n">
        <v>2000</v>
      </c>
      <c r="M16" s="22" t="n">
        <v>2000</v>
      </c>
      <c r="N16" s="22" t="n">
        <v>2000</v>
      </c>
      <c r="O16" s="23" t="n">
        <f aca="false">SUM(C16:N16)</f>
        <v>24000</v>
      </c>
    </row>
    <row r="17" customFormat="false" ht="15" hidden="false" customHeight="true" outlineLevel="0" collapsed="false">
      <c r="B17" s="8" t="s">
        <v>187</v>
      </c>
      <c r="C17" s="22" t="n">
        <v>700</v>
      </c>
      <c r="D17" s="22" t="n">
        <v>700</v>
      </c>
      <c r="E17" s="22" t="n">
        <v>700</v>
      </c>
      <c r="F17" s="22" t="n">
        <v>700</v>
      </c>
      <c r="G17" s="22" t="n">
        <v>700</v>
      </c>
      <c r="H17" s="22" t="n">
        <v>700</v>
      </c>
      <c r="I17" s="22" t="n">
        <v>700</v>
      </c>
      <c r="J17" s="22" t="n">
        <v>700</v>
      </c>
      <c r="K17" s="22" t="n">
        <v>700</v>
      </c>
      <c r="L17" s="22" t="n">
        <v>700</v>
      </c>
      <c r="M17" s="22" t="n">
        <v>700</v>
      </c>
      <c r="N17" s="22" t="n">
        <v>700</v>
      </c>
      <c r="O17" s="23" t="n">
        <f aca="false">SUM(C17:N17)</f>
        <v>8400</v>
      </c>
    </row>
    <row r="18" customFormat="false" ht="15" hidden="false" customHeight="true" outlineLevel="0" collapsed="false">
      <c r="B18" s="8" t="s">
        <v>188</v>
      </c>
      <c r="C18" s="22" t="n">
        <v>1200</v>
      </c>
      <c r="D18" s="22" t="n">
        <v>1300</v>
      </c>
      <c r="E18" s="22" t="n">
        <v>1100</v>
      </c>
      <c r="F18" s="22" t="n">
        <v>1000</v>
      </c>
      <c r="G18" s="22" t="n">
        <v>900</v>
      </c>
      <c r="H18" s="22" t="n">
        <v>1100</v>
      </c>
      <c r="I18" s="22" t="n">
        <v>1400</v>
      </c>
      <c r="J18" s="22" t="n">
        <v>1500</v>
      </c>
      <c r="K18" s="22" t="n">
        <v>1200</v>
      </c>
      <c r="L18" s="22" t="n">
        <v>1100</v>
      </c>
      <c r="M18" s="22" t="n">
        <v>1200</v>
      </c>
      <c r="N18" s="22" t="n">
        <v>1300</v>
      </c>
      <c r="O18" s="23" t="n">
        <f aca="false">SUM(C18:N18)</f>
        <v>14300</v>
      </c>
    </row>
    <row r="19" customFormat="false" ht="15" hidden="false" customHeight="true" outlineLevel="0" collapsed="false">
      <c r="B19" s="8" t="s">
        <v>189</v>
      </c>
      <c r="C19" s="22" t="n">
        <v>800</v>
      </c>
      <c r="D19" s="22" t="n">
        <v>600</v>
      </c>
      <c r="E19" s="22" t="n">
        <v>900</v>
      </c>
      <c r="F19" s="22" t="n">
        <v>700</v>
      </c>
      <c r="G19" s="22" t="n">
        <v>500</v>
      </c>
      <c r="H19" s="22" t="n">
        <v>800</v>
      </c>
      <c r="I19" s="22" t="n">
        <v>1000</v>
      </c>
      <c r="J19" s="22" t="n">
        <v>600</v>
      </c>
      <c r="K19" s="22" t="n">
        <v>700</v>
      </c>
      <c r="L19" s="22" t="n">
        <v>800</v>
      </c>
      <c r="M19" s="22" t="n">
        <v>600</v>
      </c>
      <c r="N19" s="22" t="n">
        <v>900</v>
      </c>
      <c r="O19" s="23" t="n">
        <f aca="false">SUM(C19:N19)</f>
        <v>8900</v>
      </c>
    </row>
    <row r="20" customFormat="false" ht="15" hidden="false" customHeight="true" outlineLevel="0" collapsed="false">
      <c r="B20" s="8" t="s">
        <v>190</v>
      </c>
      <c r="C20" s="22" t="n">
        <v>300</v>
      </c>
      <c r="D20" s="22" t="n">
        <v>300</v>
      </c>
      <c r="E20" s="22" t="n">
        <v>400</v>
      </c>
      <c r="F20" s="22" t="n">
        <v>500</v>
      </c>
      <c r="G20" s="22" t="n">
        <v>600</v>
      </c>
      <c r="H20" s="22" t="n">
        <v>600</v>
      </c>
      <c r="I20" s="22" t="n">
        <v>600</v>
      </c>
      <c r="J20" s="22" t="n">
        <v>600</v>
      </c>
      <c r="K20" s="22" t="n">
        <v>500</v>
      </c>
      <c r="L20" s="22" t="n">
        <v>400</v>
      </c>
      <c r="M20" s="22" t="n">
        <v>300</v>
      </c>
      <c r="N20" s="22" t="n">
        <v>300</v>
      </c>
      <c r="O20" s="23" t="n">
        <f aca="false">SUM(C20:N20)</f>
        <v>5400</v>
      </c>
    </row>
    <row r="21" customFormat="false" ht="15" hidden="false" customHeight="true" outlineLevel="0" collapsed="false">
      <c r="B21" s="8" t="s">
        <v>191</v>
      </c>
      <c r="C21" s="22" t="n">
        <v>200</v>
      </c>
      <c r="D21" s="22" t="n">
        <v>200</v>
      </c>
      <c r="E21" s="22" t="n">
        <v>200</v>
      </c>
      <c r="F21" s="22" t="n">
        <v>200</v>
      </c>
      <c r="G21" s="22" t="n">
        <v>200</v>
      </c>
      <c r="H21" s="22" t="n">
        <v>200</v>
      </c>
      <c r="I21" s="22" t="n">
        <v>200</v>
      </c>
      <c r="J21" s="22" t="n">
        <v>200</v>
      </c>
      <c r="K21" s="22" t="n">
        <v>200</v>
      </c>
      <c r="L21" s="22" t="n">
        <v>200</v>
      </c>
      <c r="M21" s="22" t="n">
        <v>200</v>
      </c>
      <c r="N21" s="22" t="n">
        <v>200</v>
      </c>
      <c r="O21" s="23" t="n">
        <f aca="false">SUM(C21:N21)</f>
        <v>2400</v>
      </c>
    </row>
    <row r="22" customFormat="false" ht="15" hidden="false" customHeight="true" outlineLevel="0" collapsed="false">
      <c r="B22" s="8" t="s">
        <v>192</v>
      </c>
      <c r="C22" s="22" t="n">
        <v>150</v>
      </c>
      <c r="D22" s="22" t="n">
        <v>150</v>
      </c>
      <c r="E22" s="22" t="n">
        <v>150</v>
      </c>
      <c r="F22" s="22" t="n">
        <v>150</v>
      </c>
      <c r="G22" s="22" t="n">
        <v>150</v>
      </c>
      <c r="H22" s="22" t="n">
        <v>150</v>
      </c>
      <c r="I22" s="22" t="n">
        <v>150</v>
      </c>
      <c r="J22" s="22" t="n">
        <v>150</v>
      </c>
      <c r="K22" s="22" t="n">
        <v>150</v>
      </c>
      <c r="L22" s="22" t="n">
        <v>150</v>
      </c>
      <c r="M22" s="22" t="n">
        <v>150</v>
      </c>
      <c r="N22" s="22" t="n">
        <v>150</v>
      </c>
      <c r="O22" s="23" t="n">
        <f aca="false">SUM(C22:N22)</f>
        <v>1800</v>
      </c>
    </row>
    <row r="23" customFormat="false" ht="15" hidden="false" customHeight="true" outlineLevel="0" collapsed="false">
      <c r="B23" s="8" t="s">
        <v>193</v>
      </c>
      <c r="C23" s="22" t="n">
        <v>300</v>
      </c>
      <c r="D23" s="22" t="n">
        <v>250</v>
      </c>
      <c r="E23" s="22" t="n">
        <v>300</v>
      </c>
      <c r="F23" s="22" t="n">
        <v>350</v>
      </c>
      <c r="G23" s="22" t="n">
        <v>400</v>
      </c>
      <c r="H23" s="22" t="n">
        <v>300</v>
      </c>
      <c r="I23" s="22" t="n">
        <v>250</v>
      </c>
      <c r="J23" s="22" t="n">
        <v>300</v>
      </c>
      <c r="K23" s="22" t="n">
        <v>350</v>
      </c>
      <c r="L23" s="22" t="n">
        <v>300</v>
      </c>
      <c r="M23" s="22" t="n">
        <v>250</v>
      </c>
      <c r="N23" s="22" t="n">
        <v>300</v>
      </c>
      <c r="O23" s="23" t="n">
        <f aca="false">SUM(C23:N23)</f>
        <v>3650</v>
      </c>
    </row>
    <row r="24" customFormat="false" ht="15" hidden="false" customHeight="true" outlineLevel="0" collapsed="false">
      <c r="B24" s="26" t="s">
        <v>194</v>
      </c>
      <c r="C24" s="25" t="n">
        <f aca="false">SUM(C15:C23)</f>
        <v>7150</v>
      </c>
      <c r="D24" s="25" t="n">
        <f aca="false">SUM(D15:D23)</f>
        <v>7000</v>
      </c>
      <c r="E24" s="25" t="n">
        <f aca="false">SUM(E15:E23)</f>
        <v>7250</v>
      </c>
      <c r="F24" s="25" t="n">
        <f aca="false">SUM(F15:F23)</f>
        <v>7100</v>
      </c>
      <c r="G24" s="25" t="n">
        <f aca="false">SUM(G15:G23)</f>
        <v>6950</v>
      </c>
      <c r="H24" s="25" t="n">
        <f aca="false">SUM(H15:H23)</f>
        <v>7350</v>
      </c>
      <c r="I24" s="25" t="n">
        <f aca="false">SUM(I15:I23)</f>
        <v>7800</v>
      </c>
      <c r="J24" s="25" t="n">
        <f aca="false">SUM(J15:J23)</f>
        <v>7550</v>
      </c>
      <c r="K24" s="25" t="n">
        <f aca="false">SUM(K15:K23)</f>
        <v>7300</v>
      </c>
      <c r="L24" s="25" t="n">
        <f aca="false">SUM(L15:L23)</f>
        <v>7150</v>
      </c>
      <c r="M24" s="25" t="n">
        <f aca="false">SUM(M15:M23)</f>
        <v>6900</v>
      </c>
      <c r="N24" s="25" t="n">
        <f aca="false">SUM(N15:N23)</f>
        <v>7350</v>
      </c>
      <c r="O24" s="27" t="n">
        <f aca="false">SUM(C24:N24)</f>
        <v>86850</v>
      </c>
    </row>
    <row r="26" customFormat="false" ht="15" hidden="false" customHeight="true" outlineLevel="0" collapsed="false">
      <c r="B26" s="29" t="s">
        <v>195</v>
      </c>
      <c r="C26" s="30" t="n">
        <f aca="false">C12-C24</f>
        <v>10615</v>
      </c>
      <c r="D26" s="30" t="n">
        <f aca="false">D12-D24</f>
        <v>10671.5</v>
      </c>
      <c r="E26" s="30" t="n">
        <f aca="false">E12-E24</f>
        <v>10608.5</v>
      </c>
      <c r="F26" s="30" t="n">
        <f aca="false">F12-F24</f>
        <v>10898.75</v>
      </c>
      <c r="G26" s="30" t="n">
        <f aca="false">G12-G24</f>
        <v>11329.25</v>
      </c>
      <c r="H26" s="30" t="n">
        <f aca="false">H12-H24</f>
        <v>10882.5</v>
      </c>
      <c r="I26" s="30" t="n">
        <f aca="false">I12-I24</f>
        <v>10526</v>
      </c>
      <c r="J26" s="30" t="n">
        <f aca="false">J12-J24</f>
        <v>11009.75</v>
      </c>
      <c r="K26" s="30" t="n">
        <f aca="false">K12-K24</f>
        <v>11119.5</v>
      </c>
      <c r="L26" s="30" t="n">
        <f aca="false">L12-L24</f>
        <v>11269.5</v>
      </c>
      <c r="M26" s="30" t="n">
        <f aca="false">M12-M24</f>
        <v>11800</v>
      </c>
      <c r="N26" s="30" t="n">
        <f aca="false">N12-N24</f>
        <v>11303.25</v>
      </c>
      <c r="O26" s="31" t="n">
        <f aca="false">SUM(C26:N26)</f>
        <v>132033.5</v>
      </c>
    </row>
    <row r="27" customFormat="false" ht="15" hidden="false" customHeight="true" outlineLevel="0" collapsed="false">
      <c r="B27" s="8" t="s">
        <v>196</v>
      </c>
      <c r="O27" s="32" t="n">
        <f aca="false">O24/O12</f>
        <v>0.396786418345832</v>
      </c>
    </row>
    <row r="30" customFormat="false" ht="15.75" hidden="false" customHeight="true" outlineLevel="0" collapsed="false">
      <c r="B30" s="5" t="s">
        <v>197</v>
      </c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</row>
    <row r="31" customFormat="false" ht="15" hidden="false" customHeight="true" outlineLevel="0" collapsed="false">
      <c r="B31" s="6" t="s">
        <v>198</v>
      </c>
      <c r="C31" s="6" t="s">
        <v>199</v>
      </c>
      <c r="D31" s="6" t="s">
        <v>200</v>
      </c>
      <c r="E31" s="6" t="s">
        <v>201</v>
      </c>
      <c r="F31" s="6" t="s">
        <v>202</v>
      </c>
      <c r="G31" s="6" t="s">
        <v>203</v>
      </c>
      <c r="H31" s="6" t="s">
        <v>204</v>
      </c>
      <c r="I31" s="6" t="s">
        <v>205</v>
      </c>
      <c r="J31" s="6" t="s">
        <v>206</v>
      </c>
      <c r="K31" s="6" t="s">
        <v>207</v>
      </c>
      <c r="L31" s="6" t="s">
        <v>208</v>
      </c>
      <c r="M31" s="6" t="s">
        <v>209</v>
      </c>
    </row>
    <row r="32" customFormat="false" ht="15" hidden="false" customHeight="true" outlineLevel="0" collapsed="false">
      <c r="B32" s="33" t="s">
        <v>210</v>
      </c>
      <c r="C32" s="33" t="s">
        <v>211</v>
      </c>
      <c r="D32" s="34" t="n">
        <v>450</v>
      </c>
      <c r="E32" s="34" t="n">
        <v>0</v>
      </c>
      <c r="F32" s="34" t="n">
        <v>1</v>
      </c>
      <c r="G32" s="33" t="s">
        <v>212</v>
      </c>
      <c r="H32" s="22" t="n">
        <v>850</v>
      </c>
      <c r="I32" s="22" t="n">
        <v>825</v>
      </c>
      <c r="J32" s="35" t="s">
        <v>213</v>
      </c>
      <c r="K32" s="35" t="s">
        <v>214</v>
      </c>
      <c r="L32" s="23" t="n">
        <f aca="false">I32-H32</f>
        <v>-25</v>
      </c>
      <c r="M32" s="23" t="n">
        <f aca="false">I32*12</f>
        <v>9900</v>
      </c>
    </row>
    <row r="33" customFormat="false" ht="15" hidden="false" customHeight="true" outlineLevel="0" collapsed="false">
      <c r="B33" s="33" t="s">
        <v>215</v>
      </c>
      <c r="C33" s="33" t="s">
        <v>211</v>
      </c>
      <c r="D33" s="34" t="n">
        <v>450</v>
      </c>
      <c r="E33" s="34" t="n">
        <v>0</v>
      </c>
      <c r="F33" s="34" t="n">
        <v>1</v>
      </c>
      <c r="G33" s="33" t="s">
        <v>212</v>
      </c>
      <c r="H33" s="22" t="n">
        <v>850</v>
      </c>
      <c r="I33" s="22" t="n">
        <v>825</v>
      </c>
      <c r="J33" s="35" t="s">
        <v>213</v>
      </c>
      <c r="K33" s="35" t="s">
        <v>214</v>
      </c>
      <c r="L33" s="23" t="n">
        <f aca="false">I33-H33</f>
        <v>-25</v>
      </c>
      <c r="M33" s="23" t="n">
        <f aca="false">I33*12</f>
        <v>9900</v>
      </c>
    </row>
    <row r="34" customFormat="false" ht="15" hidden="false" customHeight="true" outlineLevel="0" collapsed="false">
      <c r="B34" s="33" t="s">
        <v>216</v>
      </c>
      <c r="C34" s="33" t="s">
        <v>211</v>
      </c>
      <c r="D34" s="34" t="n">
        <v>450</v>
      </c>
      <c r="E34" s="34" t="n">
        <v>0</v>
      </c>
      <c r="F34" s="34" t="n">
        <v>1</v>
      </c>
      <c r="G34" s="33" t="s">
        <v>212</v>
      </c>
      <c r="H34" s="22" t="n">
        <v>850</v>
      </c>
      <c r="I34" s="22" t="n">
        <v>825</v>
      </c>
      <c r="J34" s="35" t="s">
        <v>213</v>
      </c>
      <c r="K34" s="35" t="s">
        <v>214</v>
      </c>
      <c r="L34" s="23" t="n">
        <f aca="false">I34-H34</f>
        <v>-25</v>
      </c>
      <c r="M34" s="23" t="n">
        <f aca="false">I34*12</f>
        <v>9900</v>
      </c>
    </row>
    <row r="35" customFormat="false" ht="15" hidden="false" customHeight="true" outlineLevel="0" collapsed="false">
      <c r="B35" s="33" t="s">
        <v>217</v>
      </c>
      <c r="C35" s="33" t="s">
        <v>211</v>
      </c>
      <c r="D35" s="34" t="n">
        <v>450</v>
      </c>
      <c r="E35" s="34" t="n">
        <v>0</v>
      </c>
      <c r="F35" s="34" t="n">
        <v>1</v>
      </c>
      <c r="G35" s="33" t="s">
        <v>212</v>
      </c>
      <c r="H35" s="22" t="n">
        <v>850</v>
      </c>
      <c r="I35" s="22" t="n">
        <v>825</v>
      </c>
      <c r="J35" s="35" t="s">
        <v>213</v>
      </c>
      <c r="K35" s="35" t="s">
        <v>214</v>
      </c>
      <c r="L35" s="23" t="n">
        <f aca="false">I35-H35</f>
        <v>-25</v>
      </c>
      <c r="M35" s="23" t="n">
        <f aca="false">I35*12</f>
        <v>9900</v>
      </c>
    </row>
    <row r="36" customFormat="false" ht="15" hidden="false" customHeight="true" outlineLevel="0" collapsed="false">
      <c r="B36" s="33" t="s">
        <v>218</v>
      </c>
      <c r="C36" s="33" t="s">
        <v>219</v>
      </c>
      <c r="D36" s="34" t="n">
        <v>650</v>
      </c>
      <c r="E36" s="34" t="n">
        <v>1</v>
      </c>
      <c r="F36" s="34" t="n">
        <v>1</v>
      </c>
      <c r="G36" s="36" t="s">
        <v>220</v>
      </c>
      <c r="H36" s="22" t="n">
        <v>1050</v>
      </c>
      <c r="I36" s="22" t="n">
        <v>0</v>
      </c>
      <c r="J36" s="35" t="s">
        <v>213</v>
      </c>
      <c r="K36" s="35" t="s">
        <v>214</v>
      </c>
      <c r="L36" s="23" t="n">
        <f aca="false">I36-H36</f>
        <v>-1050</v>
      </c>
      <c r="M36" s="23" t="n">
        <f aca="false">I36*12</f>
        <v>0</v>
      </c>
    </row>
    <row r="37" customFormat="false" ht="15" hidden="false" customHeight="true" outlineLevel="0" collapsed="false">
      <c r="B37" s="33" t="s">
        <v>221</v>
      </c>
      <c r="C37" s="33" t="s">
        <v>219</v>
      </c>
      <c r="D37" s="34" t="n">
        <v>650</v>
      </c>
      <c r="E37" s="34" t="n">
        <v>1</v>
      </c>
      <c r="F37" s="34" t="n">
        <v>1</v>
      </c>
      <c r="G37" s="33" t="s">
        <v>212</v>
      </c>
      <c r="H37" s="22" t="n">
        <v>1050</v>
      </c>
      <c r="I37" s="22" t="n">
        <v>1030</v>
      </c>
      <c r="J37" s="35" t="s">
        <v>213</v>
      </c>
      <c r="K37" s="35" t="s">
        <v>214</v>
      </c>
      <c r="L37" s="23" t="n">
        <f aca="false">I37-H37</f>
        <v>-20</v>
      </c>
      <c r="M37" s="23" t="n">
        <f aca="false">I37*12</f>
        <v>12360</v>
      </c>
    </row>
    <row r="38" customFormat="false" ht="15" hidden="false" customHeight="true" outlineLevel="0" collapsed="false">
      <c r="B38" s="33" t="s">
        <v>222</v>
      </c>
      <c r="C38" s="33" t="s">
        <v>219</v>
      </c>
      <c r="D38" s="34" t="n">
        <v>650</v>
      </c>
      <c r="E38" s="34" t="n">
        <v>1</v>
      </c>
      <c r="F38" s="34" t="n">
        <v>1</v>
      </c>
      <c r="G38" s="33" t="s">
        <v>212</v>
      </c>
      <c r="H38" s="22" t="n">
        <v>1050</v>
      </c>
      <c r="I38" s="22" t="n">
        <v>1035</v>
      </c>
      <c r="J38" s="35" t="s">
        <v>213</v>
      </c>
      <c r="K38" s="35" t="s">
        <v>214</v>
      </c>
      <c r="L38" s="23" t="n">
        <f aca="false">I38-H38</f>
        <v>-15</v>
      </c>
      <c r="M38" s="23" t="n">
        <f aca="false">I38*12</f>
        <v>12420</v>
      </c>
    </row>
    <row r="39" customFormat="false" ht="15" hidden="false" customHeight="true" outlineLevel="0" collapsed="false">
      <c r="B39" s="33" t="s">
        <v>223</v>
      </c>
      <c r="C39" s="33" t="s">
        <v>219</v>
      </c>
      <c r="D39" s="34" t="n">
        <v>650</v>
      </c>
      <c r="E39" s="34" t="n">
        <v>1</v>
      </c>
      <c r="F39" s="34" t="n">
        <v>1</v>
      </c>
      <c r="G39" s="33" t="s">
        <v>212</v>
      </c>
      <c r="H39" s="22" t="n">
        <v>1050</v>
      </c>
      <c r="I39" s="22" t="n">
        <v>1040</v>
      </c>
      <c r="J39" s="35" t="s">
        <v>213</v>
      </c>
      <c r="K39" s="35" t="s">
        <v>214</v>
      </c>
      <c r="L39" s="23" t="n">
        <f aca="false">I39-H39</f>
        <v>-10</v>
      </c>
      <c r="M39" s="23" t="n">
        <f aca="false">I39*12</f>
        <v>12480</v>
      </c>
    </row>
    <row r="40" customFormat="false" ht="15" hidden="false" customHeight="true" outlineLevel="0" collapsed="false">
      <c r="B40" s="33" t="s">
        <v>224</v>
      </c>
      <c r="C40" s="33" t="s">
        <v>219</v>
      </c>
      <c r="D40" s="34" t="n">
        <v>650</v>
      </c>
      <c r="E40" s="34" t="n">
        <v>1</v>
      </c>
      <c r="F40" s="34" t="n">
        <v>1</v>
      </c>
      <c r="G40" s="33" t="s">
        <v>212</v>
      </c>
      <c r="H40" s="22" t="n">
        <v>1050</v>
      </c>
      <c r="I40" s="22" t="n">
        <v>1045</v>
      </c>
      <c r="J40" s="35" t="s">
        <v>213</v>
      </c>
      <c r="K40" s="35" t="s">
        <v>214</v>
      </c>
      <c r="L40" s="23" t="n">
        <f aca="false">I40-H40</f>
        <v>-5</v>
      </c>
      <c r="M40" s="23" t="n">
        <f aca="false">I40*12</f>
        <v>12540</v>
      </c>
    </row>
    <row r="41" customFormat="false" ht="15" hidden="false" customHeight="true" outlineLevel="0" collapsed="false">
      <c r="B41" s="33" t="s">
        <v>225</v>
      </c>
      <c r="C41" s="33" t="s">
        <v>219</v>
      </c>
      <c r="D41" s="34" t="n">
        <v>650</v>
      </c>
      <c r="E41" s="34" t="n">
        <v>1</v>
      </c>
      <c r="F41" s="34" t="n">
        <v>1</v>
      </c>
      <c r="G41" s="33" t="s">
        <v>212</v>
      </c>
      <c r="H41" s="22" t="n">
        <v>1050</v>
      </c>
      <c r="I41" s="22" t="n">
        <v>1050</v>
      </c>
      <c r="J41" s="35" t="s">
        <v>213</v>
      </c>
      <c r="K41" s="35" t="s">
        <v>214</v>
      </c>
      <c r="L41" s="23" t="n">
        <f aca="false">I41-H41</f>
        <v>0</v>
      </c>
      <c r="M41" s="23" t="n">
        <f aca="false">I41*12</f>
        <v>12600</v>
      </c>
    </row>
    <row r="42" customFormat="false" ht="15" hidden="false" customHeight="true" outlineLevel="0" collapsed="false">
      <c r="B42" s="33" t="s">
        <v>226</v>
      </c>
      <c r="C42" s="33" t="s">
        <v>227</v>
      </c>
      <c r="D42" s="34" t="n">
        <v>900</v>
      </c>
      <c r="E42" s="34" t="n">
        <v>2</v>
      </c>
      <c r="F42" s="34" t="n">
        <v>1</v>
      </c>
      <c r="G42" s="33" t="s">
        <v>212</v>
      </c>
      <c r="H42" s="22" t="n">
        <v>1350</v>
      </c>
      <c r="I42" s="22" t="n">
        <v>1333</v>
      </c>
      <c r="J42" s="35" t="s">
        <v>213</v>
      </c>
      <c r="K42" s="35" t="s">
        <v>214</v>
      </c>
      <c r="L42" s="23" t="n">
        <f aca="false">I42-H42</f>
        <v>-17</v>
      </c>
      <c r="M42" s="23" t="n">
        <f aca="false">I42*12</f>
        <v>15996</v>
      </c>
    </row>
    <row r="43" customFormat="false" ht="15" hidden="false" customHeight="true" outlineLevel="0" collapsed="false">
      <c r="B43" s="33" t="s">
        <v>228</v>
      </c>
      <c r="C43" s="33" t="s">
        <v>227</v>
      </c>
      <c r="D43" s="34" t="n">
        <v>900</v>
      </c>
      <c r="E43" s="34" t="n">
        <v>2</v>
      </c>
      <c r="F43" s="34" t="n">
        <v>1</v>
      </c>
      <c r="G43" s="33" t="s">
        <v>212</v>
      </c>
      <c r="H43" s="22" t="n">
        <v>1350</v>
      </c>
      <c r="I43" s="22" t="n">
        <v>1336</v>
      </c>
      <c r="J43" s="35" t="s">
        <v>213</v>
      </c>
      <c r="K43" s="35" t="s">
        <v>214</v>
      </c>
      <c r="L43" s="23" t="n">
        <f aca="false">I43-H43</f>
        <v>-14</v>
      </c>
      <c r="M43" s="23" t="n">
        <f aca="false">I43*12</f>
        <v>16032</v>
      </c>
    </row>
    <row r="44" customFormat="false" ht="15" hidden="false" customHeight="true" outlineLevel="0" collapsed="false">
      <c r="B44" s="33" t="s">
        <v>229</v>
      </c>
      <c r="C44" s="33" t="s">
        <v>227</v>
      </c>
      <c r="D44" s="34" t="n">
        <v>900</v>
      </c>
      <c r="E44" s="34" t="n">
        <v>2</v>
      </c>
      <c r="F44" s="34" t="n">
        <v>1</v>
      </c>
      <c r="G44" s="33" t="s">
        <v>212</v>
      </c>
      <c r="H44" s="22" t="n">
        <v>1350</v>
      </c>
      <c r="I44" s="22" t="n">
        <v>1339</v>
      </c>
      <c r="J44" s="35" t="s">
        <v>213</v>
      </c>
      <c r="K44" s="35" t="s">
        <v>214</v>
      </c>
      <c r="L44" s="23" t="n">
        <f aca="false">I44-H44</f>
        <v>-11</v>
      </c>
      <c r="M44" s="23" t="n">
        <f aca="false">I44*12</f>
        <v>16068</v>
      </c>
    </row>
    <row r="45" customFormat="false" ht="15" hidden="false" customHeight="true" outlineLevel="0" collapsed="false">
      <c r="B45" s="33" t="s">
        <v>230</v>
      </c>
      <c r="C45" s="33" t="s">
        <v>227</v>
      </c>
      <c r="D45" s="34" t="n">
        <v>900</v>
      </c>
      <c r="E45" s="34" t="n">
        <v>2</v>
      </c>
      <c r="F45" s="34" t="n">
        <v>1</v>
      </c>
      <c r="G45" s="36" t="s">
        <v>220</v>
      </c>
      <c r="H45" s="22" t="n">
        <v>1350</v>
      </c>
      <c r="I45" s="22" t="n">
        <v>0</v>
      </c>
      <c r="J45" s="35" t="s">
        <v>213</v>
      </c>
      <c r="K45" s="35" t="s">
        <v>214</v>
      </c>
      <c r="L45" s="23" t="n">
        <f aca="false">I45-H45</f>
        <v>-1350</v>
      </c>
      <c r="M45" s="23" t="n">
        <f aca="false">I45*12</f>
        <v>0</v>
      </c>
    </row>
    <row r="46" customFormat="false" ht="15" hidden="false" customHeight="true" outlineLevel="0" collapsed="false">
      <c r="B46" s="33" t="s">
        <v>231</v>
      </c>
      <c r="C46" s="33" t="s">
        <v>227</v>
      </c>
      <c r="D46" s="34" t="n">
        <v>900</v>
      </c>
      <c r="E46" s="34" t="n">
        <v>2</v>
      </c>
      <c r="F46" s="34" t="n">
        <v>1</v>
      </c>
      <c r="G46" s="33" t="s">
        <v>212</v>
      </c>
      <c r="H46" s="22" t="n">
        <v>1350</v>
      </c>
      <c r="I46" s="22" t="n">
        <v>1345</v>
      </c>
      <c r="J46" s="35" t="s">
        <v>213</v>
      </c>
      <c r="K46" s="35" t="s">
        <v>214</v>
      </c>
      <c r="L46" s="23" t="n">
        <f aca="false">I46-H46</f>
        <v>-5</v>
      </c>
      <c r="M46" s="23" t="n">
        <f aca="false">I46*12</f>
        <v>16140</v>
      </c>
    </row>
    <row r="47" customFormat="false" ht="15" hidden="false" customHeight="true" outlineLevel="0" collapsed="false">
      <c r="B47" s="33" t="s">
        <v>232</v>
      </c>
      <c r="C47" s="33" t="s">
        <v>227</v>
      </c>
      <c r="D47" s="34" t="n">
        <v>900</v>
      </c>
      <c r="E47" s="34" t="n">
        <v>2</v>
      </c>
      <c r="F47" s="34" t="n">
        <v>1</v>
      </c>
      <c r="G47" s="33" t="s">
        <v>212</v>
      </c>
      <c r="H47" s="22" t="n">
        <v>1350</v>
      </c>
      <c r="I47" s="22" t="n">
        <v>1348</v>
      </c>
      <c r="J47" s="35" t="s">
        <v>213</v>
      </c>
      <c r="K47" s="35" t="s">
        <v>214</v>
      </c>
      <c r="L47" s="23" t="n">
        <f aca="false">I47-H47</f>
        <v>-2</v>
      </c>
      <c r="M47" s="23" t="n">
        <f aca="false">I47*12</f>
        <v>16176</v>
      </c>
    </row>
    <row r="48" customFormat="false" ht="15" hidden="false" customHeight="true" outlineLevel="0" collapsed="false">
      <c r="B48" s="33" t="s">
        <v>233</v>
      </c>
      <c r="C48" s="33" t="s">
        <v>234</v>
      </c>
      <c r="D48" s="34" t="n">
        <v>1050</v>
      </c>
      <c r="E48" s="34" t="n">
        <v>2</v>
      </c>
      <c r="F48" s="34" t="n">
        <v>2</v>
      </c>
      <c r="G48" s="33" t="s">
        <v>212</v>
      </c>
      <c r="H48" s="22" t="n">
        <v>1550</v>
      </c>
      <c r="I48" s="22" t="n">
        <v>1500</v>
      </c>
      <c r="J48" s="35" t="s">
        <v>213</v>
      </c>
      <c r="K48" s="35" t="s">
        <v>214</v>
      </c>
      <c r="L48" s="23" t="n">
        <f aca="false">I48-H48</f>
        <v>-50</v>
      </c>
      <c r="M48" s="23" t="n">
        <f aca="false">I48*12</f>
        <v>18000</v>
      </c>
    </row>
    <row r="49" customFormat="false" ht="15" hidden="false" customHeight="true" outlineLevel="0" collapsed="false">
      <c r="B49" s="33" t="s">
        <v>235</v>
      </c>
      <c r="C49" s="33" t="s">
        <v>234</v>
      </c>
      <c r="D49" s="34" t="n">
        <v>1050</v>
      </c>
      <c r="E49" s="34" t="n">
        <v>2</v>
      </c>
      <c r="F49" s="34" t="n">
        <v>2</v>
      </c>
      <c r="G49" s="33" t="s">
        <v>212</v>
      </c>
      <c r="H49" s="22" t="n">
        <v>1550</v>
      </c>
      <c r="I49" s="22" t="n">
        <v>1500</v>
      </c>
      <c r="J49" s="35" t="s">
        <v>213</v>
      </c>
      <c r="K49" s="35" t="s">
        <v>214</v>
      </c>
      <c r="L49" s="23" t="n">
        <f aca="false">I49-H49</f>
        <v>-50</v>
      </c>
      <c r="M49" s="23" t="n">
        <f aca="false">I49*12</f>
        <v>18000</v>
      </c>
    </row>
    <row r="50" customFormat="false" ht="15" hidden="false" customHeight="true" outlineLevel="0" collapsed="false">
      <c r="B50" s="33" t="s">
        <v>236</v>
      </c>
      <c r="C50" s="33" t="s">
        <v>237</v>
      </c>
      <c r="D50" s="34" t="n">
        <v>1250</v>
      </c>
      <c r="E50" s="34" t="n">
        <v>3</v>
      </c>
      <c r="F50" s="34" t="n">
        <v>2</v>
      </c>
      <c r="G50" s="33" t="s">
        <v>212</v>
      </c>
      <c r="H50" s="22" t="n">
        <v>1850</v>
      </c>
      <c r="I50" s="22" t="n">
        <v>1800</v>
      </c>
      <c r="J50" s="35" t="s">
        <v>213</v>
      </c>
      <c r="K50" s="35" t="s">
        <v>214</v>
      </c>
      <c r="L50" s="23" t="n">
        <f aca="false">I50-H50</f>
        <v>-50</v>
      </c>
      <c r="M50" s="23" t="n">
        <f aca="false">I50*12</f>
        <v>21600</v>
      </c>
    </row>
    <row r="51" customFormat="false" ht="15" hidden="false" customHeight="true" outlineLevel="0" collapsed="false">
      <c r="B51" s="33" t="s">
        <v>238</v>
      </c>
      <c r="C51" s="33" t="s">
        <v>237</v>
      </c>
      <c r="D51" s="34" t="n">
        <v>1250</v>
      </c>
      <c r="E51" s="34" t="n">
        <v>3</v>
      </c>
      <c r="F51" s="34" t="n">
        <v>2</v>
      </c>
      <c r="G51" s="33" t="s">
        <v>212</v>
      </c>
      <c r="H51" s="22" t="n">
        <v>1850</v>
      </c>
      <c r="I51" s="22" t="n">
        <v>1800</v>
      </c>
      <c r="J51" s="35" t="s">
        <v>213</v>
      </c>
      <c r="K51" s="35" t="s">
        <v>214</v>
      </c>
      <c r="L51" s="23" t="n">
        <f aca="false">I51-H51</f>
        <v>-50</v>
      </c>
      <c r="M51" s="23" t="n">
        <f aca="false">I51*12</f>
        <v>21600</v>
      </c>
    </row>
    <row r="52" customFormat="false" ht="15" hidden="false" customHeight="true" outlineLevel="0" collapsed="false">
      <c r="B52" s="26" t="s">
        <v>239</v>
      </c>
      <c r="D52" s="37" t="n">
        <f aca="false">SUM(D32:D51)</f>
        <v>15700</v>
      </c>
      <c r="G52" s="38" t="n">
        <f aca="false">COUNTIF(G32:G51,"Occupied")</f>
        <v>18</v>
      </c>
      <c r="H52" s="25" t="n">
        <f aca="false">SUM(H32:H51)</f>
        <v>24600</v>
      </c>
      <c r="I52" s="25" t="n">
        <f aca="false">SUM(I32:I51)</f>
        <v>21801</v>
      </c>
      <c r="L52" s="25" t="n">
        <f aca="false">SUM(L32:L51)</f>
        <v>-2799</v>
      </c>
      <c r="M52" s="25" t="n">
        <f aca="false">SUM(M32:M51)</f>
        <v>261612</v>
      </c>
    </row>
  </sheetData>
  <mergeCells count="5">
    <mergeCell ref="B2:O2"/>
    <mergeCell ref="B3:O3"/>
    <mergeCell ref="B6:O6"/>
    <mergeCell ref="B14:O14"/>
    <mergeCell ref="B30:O30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1B474D"/>
    <pageSetUpPr fitToPage="false"/>
  </sheetPr>
  <dimension ref="B2:M4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5" topLeftCell="C6" activePane="bottomRight" state="frozen"/>
      <selection pane="topLeft" activeCell="A1" activeCellId="0" sqref="A1"/>
      <selection pane="topRight" activeCell="C1" activeCellId="0" sqref="C1"/>
      <selection pane="bottomLeft" activeCell="A6" activeCellId="0" sqref="A6"/>
      <selection pane="bottomRigh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" width="3"/>
    <col collapsed="false" customWidth="true" hidden="false" outlineLevel="0" max="2" min="2" style="1" width="30"/>
    <col collapsed="false" customWidth="true" hidden="false" outlineLevel="0" max="13" min="3" style="1" width="16"/>
  </cols>
  <sheetData>
    <row r="2" customFormat="false" ht="34.5" hidden="false" customHeight="true" outlineLevel="0" collapsed="false">
      <c r="B2" s="16" t="s">
        <v>240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</row>
    <row r="3" customFormat="false" ht="15" hidden="false" customHeight="true" outlineLevel="0" collapsed="false">
      <c r="B3" s="4" t="s">
        <v>241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5" customFormat="false" ht="15" hidden="false" customHeight="true" outlineLevel="0" collapsed="false">
      <c r="B5" s="6" t="s">
        <v>242</v>
      </c>
      <c r="C5" s="6" t="s">
        <v>243</v>
      </c>
      <c r="D5" s="6" t="s">
        <v>244</v>
      </c>
      <c r="E5" s="6" t="s">
        <v>245</v>
      </c>
      <c r="F5" s="6" t="s">
        <v>246</v>
      </c>
      <c r="G5" s="6" t="s">
        <v>247</v>
      </c>
      <c r="H5" s="6" t="s">
        <v>248</v>
      </c>
      <c r="I5" s="6" t="s">
        <v>249</v>
      </c>
      <c r="J5" s="6" t="s">
        <v>250</v>
      </c>
      <c r="K5" s="6" t="s">
        <v>251</v>
      </c>
      <c r="L5" s="6" t="s">
        <v>252</v>
      </c>
      <c r="M5" s="6" t="s">
        <v>253</v>
      </c>
    </row>
    <row r="6" customFormat="false" ht="15.75" hidden="false" customHeight="true" outlineLevel="0" collapsed="false">
      <c r="B6" s="5" t="s">
        <v>254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customFormat="false" ht="15" hidden="false" customHeight="true" outlineLevel="0" collapsed="false">
      <c r="B7" s="8" t="s">
        <v>255</v>
      </c>
      <c r="C7" s="39" t="n">
        <f aca="false">'T-12 &amp; Rent Roll'!O10</f>
        <v>234100</v>
      </c>
      <c r="D7" s="23" t="n">
        <f aca="false">C7*(1+'Property Inputs'!C16)</f>
        <v>238782</v>
      </c>
      <c r="E7" s="23" t="n">
        <f aca="false">D7*(1+'Property Inputs'!C16)</f>
        <v>243557.64</v>
      </c>
      <c r="F7" s="23" t="n">
        <f aca="false">E7*(1+'Property Inputs'!C16)</f>
        <v>248428.7928</v>
      </c>
      <c r="G7" s="23" t="n">
        <f aca="false">F7*(1+'Property Inputs'!C16)</f>
        <v>253397.368656</v>
      </c>
      <c r="H7" s="23" t="n">
        <f aca="false">G7*(1+'Property Inputs'!C16)</f>
        <v>258465.31602912</v>
      </c>
      <c r="I7" s="23" t="n">
        <f aca="false">H7*(1+'Property Inputs'!C16)</f>
        <v>263634.622349702</v>
      </c>
      <c r="J7" s="23" t="n">
        <f aca="false">I7*(1+'Property Inputs'!C16)</f>
        <v>268907.314796697</v>
      </c>
      <c r="K7" s="23" t="n">
        <f aca="false">J7*(1+'Property Inputs'!C16)</f>
        <v>274285.46109263</v>
      </c>
      <c r="L7" s="23" t="n">
        <f aca="false">K7*(1+'Property Inputs'!C16)</f>
        <v>279771.170314483</v>
      </c>
      <c r="M7" s="23" t="n">
        <f aca="false">L7*(1+'Property Inputs'!C16)</f>
        <v>285366.593720773</v>
      </c>
    </row>
    <row r="8" customFormat="false" ht="15" hidden="false" customHeight="true" outlineLevel="0" collapsed="false">
      <c r="B8" s="8" t="s">
        <v>256</v>
      </c>
      <c r="C8" s="39" t="n">
        <f aca="false">'T-12 &amp; Rent Roll'!O8+'T-12 &amp; Rent Roll'!O9</f>
        <v>12100</v>
      </c>
      <c r="D8" s="23" t="n">
        <f aca="false">C8*(1+'Property Inputs'!C16)</f>
        <v>12342</v>
      </c>
      <c r="E8" s="23" t="n">
        <f aca="false">D8*(1+'Property Inputs'!C16)</f>
        <v>12588.84</v>
      </c>
      <c r="F8" s="23" t="n">
        <f aca="false">E8*(1+'Property Inputs'!C16)</f>
        <v>12840.6168</v>
      </c>
      <c r="G8" s="23" t="n">
        <f aca="false">F8*(1+'Property Inputs'!C16)</f>
        <v>13097.429136</v>
      </c>
      <c r="H8" s="23" t="n">
        <f aca="false">G8*(1+'Property Inputs'!C16)</f>
        <v>13359.37771872</v>
      </c>
      <c r="I8" s="23" t="n">
        <f aca="false">H8*(1+'Property Inputs'!C16)</f>
        <v>13626.5652730944</v>
      </c>
      <c r="J8" s="23" t="n">
        <f aca="false">I8*(1+'Property Inputs'!C16)</f>
        <v>13899.0965785563</v>
      </c>
      <c r="K8" s="23" t="n">
        <f aca="false">J8*(1+'Property Inputs'!C16)</f>
        <v>14177.0785101274</v>
      </c>
      <c r="L8" s="23" t="n">
        <f aca="false">K8*(1+'Property Inputs'!C16)</f>
        <v>14460.62008033</v>
      </c>
      <c r="M8" s="23" t="n">
        <f aca="false">L8*(1+'Property Inputs'!C16)</f>
        <v>14749.8324819366</v>
      </c>
    </row>
    <row r="9" customFormat="false" ht="15" hidden="false" customHeight="true" outlineLevel="0" collapsed="false">
      <c r="B9" s="26" t="s">
        <v>257</v>
      </c>
      <c r="C9" s="25" t="n">
        <f aca="false">C7+C8</f>
        <v>246200</v>
      </c>
      <c r="D9" s="25" t="n">
        <f aca="false">D7+D8</f>
        <v>251124</v>
      </c>
      <c r="E9" s="25" t="n">
        <f aca="false">E7+E8</f>
        <v>256146.48</v>
      </c>
      <c r="F9" s="25" t="n">
        <f aca="false">F7+F8</f>
        <v>261269.4096</v>
      </c>
      <c r="G9" s="25" t="n">
        <f aca="false">G7+G8</f>
        <v>266494.797792</v>
      </c>
      <c r="H9" s="25" t="n">
        <f aca="false">H7+H8</f>
        <v>271824.69374784</v>
      </c>
      <c r="I9" s="25" t="n">
        <f aca="false">I7+I8</f>
        <v>277261.187622797</v>
      </c>
      <c r="J9" s="25" t="n">
        <f aca="false">J7+J8</f>
        <v>282806.411375253</v>
      </c>
      <c r="K9" s="25" t="n">
        <f aca="false">K7+K8</f>
        <v>288462.539602758</v>
      </c>
      <c r="L9" s="25" t="n">
        <f aca="false">L7+L8</f>
        <v>294231.790394813</v>
      </c>
      <c r="M9" s="25" t="n">
        <f aca="false">M7+M8</f>
        <v>300116.426202709</v>
      </c>
    </row>
    <row r="10" customFormat="false" ht="15" hidden="false" customHeight="true" outlineLevel="0" collapsed="false">
      <c r="B10" s="8" t="s">
        <v>182</v>
      </c>
      <c r="C10" s="23" t="n">
        <f aca="false">-C9*'Property Inputs'!C20</f>
        <v>-12310</v>
      </c>
      <c r="D10" s="23" t="n">
        <f aca="false">-D9*'Property Inputs'!C20</f>
        <v>-12556.2</v>
      </c>
      <c r="E10" s="23" t="n">
        <f aca="false">-E9*'Property Inputs'!C20</f>
        <v>-12807.324</v>
      </c>
      <c r="F10" s="23" t="n">
        <f aca="false">-F9*'Property Inputs'!C20</f>
        <v>-13063.47048</v>
      </c>
      <c r="G10" s="23" t="n">
        <f aca="false">-G9*'Property Inputs'!C20</f>
        <v>-13324.7398896</v>
      </c>
      <c r="H10" s="23" t="n">
        <f aca="false">-H9*'Property Inputs'!C20</f>
        <v>-13591.234687392</v>
      </c>
      <c r="I10" s="23" t="n">
        <f aca="false">-I9*'Property Inputs'!C20</f>
        <v>-13863.0593811398</v>
      </c>
      <c r="J10" s="23" t="n">
        <f aca="false">-J9*'Property Inputs'!C20</f>
        <v>-14140.3205687626</v>
      </c>
      <c r="K10" s="23" t="n">
        <f aca="false">-K9*'Property Inputs'!C20</f>
        <v>-14423.1269801379</v>
      </c>
      <c r="L10" s="23" t="n">
        <f aca="false">-L9*'Property Inputs'!C20</f>
        <v>-14711.5895197407</v>
      </c>
      <c r="M10" s="23" t="n">
        <f aca="false">-M9*'Property Inputs'!C20</f>
        <v>-15005.8213101355</v>
      </c>
    </row>
    <row r="11" customFormat="false" ht="15" hidden="false" customHeight="true" outlineLevel="0" collapsed="false">
      <c r="B11" s="26" t="s">
        <v>183</v>
      </c>
      <c r="C11" s="25" t="n">
        <f aca="false">C9+C10</f>
        <v>233890</v>
      </c>
      <c r="D11" s="25" t="n">
        <f aca="false">D9+D10</f>
        <v>238567.8</v>
      </c>
      <c r="E11" s="25" t="n">
        <f aca="false">E9+E10</f>
        <v>243339.156</v>
      </c>
      <c r="F11" s="25" t="n">
        <f aca="false">F9+F10</f>
        <v>248205.93912</v>
      </c>
      <c r="G11" s="25" t="n">
        <f aca="false">G9+G10</f>
        <v>253170.0579024</v>
      </c>
      <c r="H11" s="25" t="n">
        <f aca="false">H9+H10</f>
        <v>258233.459060448</v>
      </c>
      <c r="I11" s="25" t="n">
        <f aca="false">I9+I10</f>
        <v>263398.128241657</v>
      </c>
      <c r="J11" s="25" t="n">
        <f aca="false">J9+J10</f>
        <v>268666.09080649</v>
      </c>
      <c r="K11" s="25" t="n">
        <f aca="false">K9+K10</f>
        <v>274039.41262262</v>
      </c>
      <c r="L11" s="25" t="n">
        <f aca="false">L9+L10</f>
        <v>279520.200875072</v>
      </c>
      <c r="M11" s="25" t="n">
        <f aca="false">M9+M10</f>
        <v>285110.604892574</v>
      </c>
    </row>
    <row r="13" customFormat="false" ht="15.75" hidden="false" customHeight="true" outlineLevel="0" collapsed="false">
      <c r="B13" s="5" t="s">
        <v>184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</row>
    <row r="14" customFormat="false" ht="15" hidden="false" customHeight="true" outlineLevel="0" collapsed="false">
      <c r="B14" s="8" t="s">
        <v>258</v>
      </c>
      <c r="C14" s="23" t="n">
        <f aca="false">C11*'Property Inputs'!C21</f>
        <v>18711.2</v>
      </c>
      <c r="D14" s="23" t="n">
        <f aca="false">D11*'Property Inputs'!C21</f>
        <v>19085.424</v>
      </c>
      <c r="E14" s="23" t="n">
        <f aca="false">E11*'Property Inputs'!C21</f>
        <v>19467.13248</v>
      </c>
      <c r="F14" s="23" t="n">
        <f aca="false">F11*'Property Inputs'!C21</f>
        <v>19856.4751296</v>
      </c>
      <c r="G14" s="23" t="n">
        <f aca="false">G11*'Property Inputs'!C21</f>
        <v>20253.604632192</v>
      </c>
      <c r="H14" s="23" t="n">
        <f aca="false">H11*'Property Inputs'!C21</f>
        <v>20658.6767248358</v>
      </c>
      <c r="I14" s="23" t="n">
        <f aca="false">I11*'Property Inputs'!C21</f>
        <v>21071.8502593326</v>
      </c>
      <c r="J14" s="23" t="n">
        <f aca="false">J11*'Property Inputs'!C21</f>
        <v>21493.2872645192</v>
      </c>
      <c r="K14" s="23" t="n">
        <f aca="false">K11*'Property Inputs'!C21</f>
        <v>21923.1530098096</v>
      </c>
      <c r="L14" s="23" t="n">
        <f aca="false">L11*'Property Inputs'!C21</f>
        <v>22361.6160700058</v>
      </c>
      <c r="M14" s="23" t="n">
        <f aca="false">M11*'Property Inputs'!C21</f>
        <v>22808.8483914059</v>
      </c>
    </row>
    <row r="15" customFormat="false" ht="15" hidden="false" customHeight="true" outlineLevel="0" collapsed="false">
      <c r="B15" s="8" t="s">
        <v>186</v>
      </c>
      <c r="C15" s="39" t="n">
        <f aca="false">'T-12 &amp; Rent Roll'!O16</f>
        <v>24000</v>
      </c>
      <c r="D15" s="23" t="n">
        <f aca="false">C15*(1+'Property Inputs'!C17)</f>
        <v>24720</v>
      </c>
      <c r="E15" s="23" t="n">
        <f aca="false">D15*(1+'Property Inputs'!C17)</f>
        <v>25461.6</v>
      </c>
      <c r="F15" s="23" t="n">
        <f aca="false">E15*(1+'Property Inputs'!C17)</f>
        <v>26225.448</v>
      </c>
      <c r="G15" s="23" t="n">
        <f aca="false">F15*(1+'Property Inputs'!C17)</f>
        <v>27012.21144</v>
      </c>
      <c r="H15" s="23" t="n">
        <f aca="false">G15*(1+'Property Inputs'!C17)</f>
        <v>27822.5777832</v>
      </c>
      <c r="I15" s="23" t="n">
        <f aca="false">H15*(1+'Property Inputs'!C17)</f>
        <v>28657.255116696</v>
      </c>
      <c r="J15" s="23" t="n">
        <f aca="false">I15*(1+'Property Inputs'!C17)</f>
        <v>29516.9727701969</v>
      </c>
      <c r="K15" s="23" t="n">
        <f aca="false">J15*(1+'Property Inputs'!C17)</f>
        <v>30402.4819533028</v>
      </c>
      <c r="L15" s="23" t="n">
        <f aca="false">K15*(1+'Property Inputs'!C17)</f>
        <v>31314.5564119019</v>
      </c>
      <c r="M15" s="23" t="n">
        <f aca="false">L15*(1+'Property Inputs'!C17)</f>
        <v>32253.9931042589</v>
      </c>
    </row>
    <row r="16" customFormat="false" ht="15" hidden="false" customHeight="true" outlineLevel="0" collapsed="false">
      <c r="B16" s="8" t="s">
        <v>187</v>
      </c>
      <c r="C16" s="39" t="n">
        <f aca="false">'T-12 &amp; Rent Roll'!O17</f>
        <v>8400</v>
      </c>
      <c r="D16" s="23" t="n">
        <f aca="false">C16*(1+'Property Inputs'!C17)</f>
        <v>8652</v>
      </c>
      <c r="E16" s="23" t="n">
        <f aca="false">D16*(1+'Property Inputs'!C17)</f>
        <v>8911.56</v>
      </c>
      <c r="F16" s="23" t="n">
        <f aca="false">E16*(1+'Property Inputs'!C17)</f>
        <v>9178.9068</v>
      </c>
      <c r="G16" s="23" t="n">
        <f aca="false">F16*(1+'Property Inputs'!C17)</f>
        <v>9454.274004</v>
      </c>
      <c r="H16" s="23" t="n">
        <f aca="false">G16*(1+'Property Inputs'!C17)</f>
        <v>9737.90222412</v>
      </c>
      <c r="I16" s="23" t="n">
        <f aca="false">H16*(1+'Property Inputs'!C17)</f>
        <v>10030.0392908436</v>
      </c>
      <c r="J16" s="23" t="n">
        <f aca="false">I16*(1+'Property Inputs'!C17)</f>
        <v>10330.9404695689</v>
      </c>
      <c r="K16" s="23" t="n">
        <f aca="false">J16*(1+'Property Inputs'!C17)</f>
        <v>10640.868683656</v>
      </c>
      <c r="L16" s="23" t="n">
        <f aca="false">K16*(1+'Property Inputs'!C17)</f>
        <v>10960.0947441657</v>
      </c>
      <c r="M16" s="23" t="n">
        <f aca="false">L16*(1+'Property Inputs'!C17)</f>
        <v>11288.8975864906</v>
      </c>
    </row>
    <row r="17" customFormat="false" ht="15" hidden="false" customHeight="true" outlineLevel="0" collapsed="false">
      <c r="B17" s="8" t="s">
        <v>188</v>
      </c>
      <c r="C17" s="39" t="n">
        <f aca="false">'T-12 &amp; Rent Roll'!O18</f>
        <v>14300</v>
      </c>
      <c r="D17" s="23" t="n">
        <f aca="false">C17*(1+'Property Inputs'!C17)</f>
        <v>14729</v>
      </c>
      <c r="E17" s="23" t="n">
        <f aca="false">D17*(1+'Property Inputs'!C17)</f>
        <v>15170.87</v>
      </c>
      <c r="F17" s="23" t="n">
        <f aca="false">E17*(1+'Property Inputs'!C17)</f>
        <v>15625.9961</v>
      </c>
      <c r="G17" s="23" t="n">
        <f aca="false">F17*(1+'Property Inputs'!C17)</f>
        <v>16094.775983</v>
      </c>
      <c r="H17" s="23" t="n">
        <f aca="false">G17*(1+'Property Inputs'!C17)</f>
        <v>16577.61926249</v>
      </c>
      <c r="I17" s="23" t="n">
        <f aca="false">H17*(1+'Property Inputs'!C17)</f>
        <v>17074.9478403647</v>
      </c>
      <c r="J17" s="23" t="n">
        <f aca="false">I17*(1+'Property Inputs'!C17)</f>
        <v>17587.1962755756</v>
      </c>
      <c r="K17" s="23" t="n">
        <f aca="false">J17*(1+'Property Inputs'!C17)</f>
        <v>18114.8121638429</v>
      </c>
      <c r="L17" s="23" t="n">
        <f aca="false">K17*(1+'Property Inputs'!C17)</f>
        <v>18658.2565287582</v>
      </c>
      <c r="M17" s="23" t="n">
        <f aca="false">L17*(1+'Property Inputs'!C17)</f>
        <v>19218.004224621</v>
      </c>
    </row>
    <row r="18" customFormat="false" ht="15" hidden="false" customHeight="true" outlineLevel="0" collapsed="false">
      <c r="B18" s="8" t="s">
        <v>189</v>
      </c>
      <c r="C18" s="39" t="n">
        <f aca="false">'T-12 &amp; Rent Roll'!O19</f>
        <v>8900</v>
      </c>
      <c r="D18" s="23" t="n">
        <f aca="false">C18*(1+'Property Inputs'!C17)</f>
        <v>9167</v>
      </c>
      <c r="E18" s="23" t="n">
        <f aca="false">D18*(1+'Property Inputs'!C17)</f>
        <v>9442.01</v>
      </c>
      <c r="F18" s="23" t="n">
        <f aca="false">E18*(1+'Property Inputs'!C17)</f>
        <v>9725.2703</v>
      </c>
      <c r="G18" s="23" t="n">
        <f aca="false">F18*(1+'Property Inputs'!C17)</f>
        <v>10017.028409</v>
      </c>
      <c r="H18" s="23" t="n">
        <f aca="false">G18*(1+'Property Inputs'!C17)</f>
        <v>10317.53926127</v>
      </c>
      <c r="I18" s="23" t="n">
        <f aca="false">H18*(1+'Property Inputs'!C17)</f>
        <v>10627.0654391081</v>
      </c>
      <c r="J18" s="23" t="n">
        <f aca="false">I18*(1+'Property Inputs'!C17)</f>
        <v>10945.8774022813</v>
      </c>
      <c r="K18" s="23" t="n">
        <f aca="false">J18*(1+'Property Inputs'!C17)</f>
        <v>11274.2537243498</v>
      </c>
      <c r="L18" s="23" t="n">
        <f aca="false">K18*(1+'Property Inputs'!C17)</f>
        <v>11612.4813360803</v>
      </c>
      <c r="M18" s="23" t="n">
        <f aca="false">L18*(1+'Property Inputs'!C17)</f>
        <v>11960.8557761627</v>
      </c>
    </row>
    <row r="19" customFormat="false" ht="15" hidden="false" customHeight="true" outlineLevel="0" collapsed="false">
      <c r="B19" s="8" t="s">
        <v>259</v>
      </c>
      <c r="C19" s="39" t="n">
        <f aca="false">'T-12 &amp; Rent Roll'!O20</f>
        <v>5400</v>
      </c>
      <c r="D19" s="23" t="n">
        <f aca="false">C19*(1+'Property Inputs'!C17)</f>
        <v>5562</v>
      </c>
      <c r="E19" s="23" t="n">
        <f aca="false">D19*(1+'Property Inputs'!C17)</f>
        <v>5728.86</v>
      </c>
      <c r="F19" s="23" t="n">
        <f aca="false">E19*(1+'Property Inputs'!C17)</f>
        <v>5900.7258</v>
      </c>
      <c r="G19" s="23" t="n">
        <f aca="false">F19*(1+'Property Inputs'!C17)</f>
        <v>6077.747574</v>
      </c>
      <c r="H19" s="23" t="n">
        <f aca="false">G19*(1+'Property Inputs'!C17)</f>
        <v>6260.08000122</v>
      </c>
      <c r="I19" s="23" t="n">
        <f aca="false">H19*(1+'Property Inputs'!C17)</f>
        <v>6447.8824012566</v>
      </c>
      <c r="J19" s="23" t="n">
        <f aca="false">I19*(1+'Property Inputs'!C17)</f>
        <v>6641.3188732943</v>
      </c>
      <c r="K19" s="23" t="n">
        <f aca="false">J19*(1+'Property Inputs'!C17)</f>
        <v>6840.55843949313</v>
      </c>
      <c r="L19" s="23" t="n">
        <f aca="false">K19*(1+'Property Inputs'!C17)</f>
        <v>7045.77519267792</v>
      </c>
      <c r="M19" s="23" t="n">
        <f aca="false">L19*(1+'Property Inputs'!C17)</f>
        <v>7257.14844845826</v>
      </c>
    </row>
    <row r="20" customFormat="false" ht="15" hidden="false" customHeight="true" outlineLevel="0" collapsed="false">
      <c r="B20" s="8" t="s">
        <v>191</v>
      </c>
      <c r="C20" s="39" t="n">
        <f aca="false">'T-12 &amp; Rent Roll'!O21</f>
        <v>2400</v>
      </c>
      <c r="D20" s="23" t="n">
        <f aca="false">C20*(1+'Property Inputs'!C17)</f>
        <v>2472</v>
      </c>
      <c r="E20" s="23" t="n">
        <f aca="false">D20*(1+'Property Inputs'!C17)</f>
        <v>2546.16</v>
      </c>
      <c r="F20" s="23" t="n">
        <f aca="false">E20*(1+'Property Inputs'!C17)</f>
        <v>2622.5448</v>
      </c>
      <c r="G20" s="23" t="n">
        <f aca="false">F20*(1+'Property Inputs'!C17)</f>
        <v>2701.221144</v>
      </c>
      <c r="H20" s="23" t="n">
        <f aca="false">G20*(1+'Property Inputs'!C17)</f>
        <v>2782.25777832</v>
      </c>
      <c r="I20" s="23" t="n">
        <f aca="false">H20*(1+'Property Inputs'!C17)</f>
        <v>2865.7255116696</v>
      </c>
      <c r="J20" s="23" t="n">
        <f aca="false">I20*(1+'Property Inputs'!C17)</f>
        <v>2951.69727701969</v>
      </c>
      <c r="K20" s="23" t="n">
        <f aca="false">J20*(1+'Property Inputs'!C17)</f>
        <v>3040.24819533028</v>
      </c>
      <c r="L20" s="23" t="n">
        <f aca="false">K20*(1+'Property Inputs'!C17)</f>
        <v>3131.45564119019</v>
      </c>
      <c r="M20" s="23" t="n">
        <f aca="false">L20*(1+'Property Inputs'!C17)</f>
        <v>3225.39931042589</v>
      </c>
    </row>
    <row r="21" customFormat="false" ht="15" hidden="false" customHeight="true" outlineLevel="0" collapsed="false">
      <c r="B21" s="8" t="s">
        <v>192</v>
      </c>
      <c r="C21" s="39" t="n">
        <f aca="false">'T-12 &amp; Rent Roll'!O22</f>
        <v>1800</v>
      </c>
      <c r="D21" s="23" t="n">
        <f aca="false">C21*(1+'Property Inputs'!C17)</f>
        <v>1854</v>
      </c>
      <c r="E21" s="23" t="n">
        <f aca="false">D21*(1+'Property Inputs'!C17)</f>
        <v>1909.62</v>
      </c>
      <c r="F21" s="23" t="n">
        <f aca="false">E21*(1+'Property Inputs'!C17)</f>
        <v>1966.9086</v>
      </c>
      <c r="G21" s="23" t="n">
        <f aca="false">F21*(1+'Property Inputs'!C17)</f>
        <v>2025.915858</v>
      </c>
      <c r="H21" s="23" t="n">
        <f aca="false">G21*(1+'Property Inputs'!C17)</f>
        <v>2086.69333374</v>
      </c>
      <c r="I21" s="23" t="n">
        <f aca="false">H21*(1+'Property Inputs'!C17)</f>
        <v>2149.2941337522</v>
      </c>
      <c r="J21" s="23" t="n">
        <f aca="false">I21*(1+'Property Inputs'!C17)</f>
        <v>2213.77295776477</v>
      </c>
      <c r="K21" s="23" t="n">
        <f aca="false">J21*(1+'Property Inputs'!C17)</f>
        <v>2280.18614649771</v>
      </c>
      <c r="L21" s="23" t="n">
        <f aca="false">K21*(1+'Property Inputs'!C17)</f>
        <v>2348.59173089264</v>
      </c>
      <c r="M21" s="23" t="n">
        <f aca="false">L21*(1+'Property Inputs'!C17)</f>
        <v>2419.04948281942</v>
      </c>
    </row>
    <row r="22" customFormat="false" ht="15" hidden="false" customHeight="true" outlineLevel="0" collapsed="false">
      <c r="B22" s="8" t="s">
        <v>260</v>
      </c>
      <c r="C22" s="39" t="n">
        <f aca="false">'T-12 &amp; Rent Roll'!O23</f>
        <v>3650</v>
      </c>
      <c r="D22" s="23" t="n">
        <f aca="false">C22*(1+'Property Inputs'!C17)</f>
        <v>3759.5</v>
      </c>
      <c r="E22" s="23" t="n">
        <f aca="false">D22*(1+'Property Inputs'!C17)</f>
        <v>3872.285</v>
      </c>
      <c r="F22" s="23" t="n">
        <f aca="false">E22*(1+'Property Inputs'!C17)</f>
        <v>3988.45355</v>
      </c>
      <c r="G22" s="23" t="n">
        <f aca="false">F22*(1+'Property Inputs'!C17)</f>
        <v>4108.1071565</v>
      </c>
      <c r="H22" s="23" t="n">
        <f aca="false">G22*(1+'Property Inputs'!C17)</f>
        <v>4231.350371195</v>
      </c>
      <c r="I22" s="23" t="n">
        <f aca="false">H22*(1+'Property Inputs'!C17)</f>
        <v>4358.29088233085</v>
      </c>
      <c r="J22" s="23" t="n">
        <f aca="false">I22*(1+'Property Inputs'!C17)</f>
        <v>4489.03960880078</v>
      </c>
      <c r="K22" s="23" t="n">
        <f aca="false">J22*(1+'Property Inputs'!C17)</f>
        <v>4623.7107970648</v>
      </c>
      <c r="L22" s="23" t="n">
        <f aca="false">K22*(1+'Property Inputs'!C17)</f>
        <v>4762.42212097675</v>
      </c>
      <c r="M22" s="23" t="n">
        <f aca="false">L22*(1+'Property Inputs'!C17)</f>
        <v>4905.29478460605</v>
      </c>
    </row>
    <row r="23" customFormat="false" ht="15" hidden="false" customHeight="true" outlineLevel="0" collapsed="false">
      <c r="B23" s="8" t="s">
        <v>261</v>
      </c>
      <c r="C23" s="23" t="n">
        <f aca="false">'Property Inputs'!C22*'Property Inputs'!C9</f>
        <v>5000</v>
      </c>
      <c r="D23" s="23" t="n">
        <f aca="false">'Property Inputs'!C22*'Property Inputs'!C9</f>
        <v>5000</v>
      </c>
      <c r="E23" s="23" t="n">
        <f aca="false">'Property Inputs'!C22*'Property Inputs'!C9</f>
        <v>5000</v>
      </c>
      <c r="F23" s="23" t="n">
        <f aca="false">'Property Inputs'!C22*'Property Inputs'!C9</f>
        <v>5000</v>
      </c>
      <c r="G23" s="23" t="n">
        <f aca="false">'Property Inputs'!C22*'Property Inputs'!C9</f>
        <v>5000</v>
      </c>
      <c r="H23" s="23" t="n">
        <f aca="false">'Property Inputs'!C22*'Property Inputs'!C9</f>
        <v>5000</v>
      </c>
      <c r="I23" s="23" t="n">
        <f aca="false">'Property Inputs'!C22*'Property Inputs'!C9</f>
        <v>5000</v>
      </c>
      <c r="J23" s="23" t="n">
        <f aca="false">'Property Inputs'!C22*'Property Inputs'!C9</f>
        <v>5000</v>
      </c>
      <c r="K23" s="23" t="n">
        <f aca="false">'Property Inputs'!C22*'Property Inputs'!C9</f>
        <v>5000</v>
      </c>
      <c r="L23" s="23" t="n">
        <f aca="false">'Property Inputs'!C22*'Property Inputs'!C9</f>
        <v>5000</v>
      </c>
      <c r="M23" s="23" t="n">
        <f aca="false">'Property Inputs'!C22*'Property Inputs'!C9</f>
        <v>5000</v>
      </c>
    </row>
    <row r="24" customFormat="false" ht="15" hidden="false" customHeight="true" outlineLevel="0" collapsed="false">
      <c r="B24" s="26" t="s">
        <v>194</v>
      </c>
      <c r="C24" s="25" t="n">
        <f aca="false">SUM(C14:C23)</f>
        <v>92561.2</v>
      </c>
      <c r="D24" s="25" t="n">
        <f aca="false">SUM(D14:D23)</f>
        <v>95000.924</v>
      </c>
      <c r="E24" s="25" t="n">
        <f aca="false">SUM(E14:E23)</f>
        <v>97510.09748</v>
      </c>
      <c r="F24" s="25" t="n">
        <f aca="false">SUM(F14:F23)</f>
        <v>100090.7290796</v>
      </c>
      <c r="G24" s="25" t="n">
        <f aca="false">SUM(G14:G23)</f>
        <v>102744.886200692</v>
      </c>
      <c r="H24" s="25" t="n">
        <f aca="false">SUM(H14:H23)</f>
        <v>105474.696740391</v>
      </c>
      <c r="I24" s="25" t="n">
        <f aca="false">SUM(I14:I23)</f>
        <v>108282.350875354</v>
      </c>
      <c r="J24" s="25" t="n">
        <f aca="false">SUM(J14:J23)</f>
        <v>111170.102899022</v>
      </c>
      <c r="K24" s="25" t="n">
        <f aca="false">SUM(K14:K23)</f>
        <v>114140.273113347</v>
      </c>
      <c r="L24" s="25" t="n">
        <f aca="false">SUM(L14:L23)</f>
        <v>117195.249776649</v>
      </c>
      <c r="M24" s="25" t="n">
        <f aca="false">SUM(M14:M23)</f>
        <v>120337.491109249</v>
      </c>
    </row>
    <row r="26" customFormat="false" ht="15.75" hidden="false" customHeight="true" outlineLevel="0" collapsed="false">
      <c r="B26" s="5" t="s">
        <v>262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</row>
    <row r="27" customFormat="false" ht="15" hidden="false" customHeight="true" outlineLevel="0" collapsed="false">
      <c r="B27" s="29" t="s">
        <v>195</v>
      </c>
      <c r="C27" s="30" t="n">
        <f aca="false">C11-C24</f>
        <v>141328.8</v>
      </c>
      <c r="D27" s="30" t="n">
        <f aca="false">D11-D24</f>
        <v>143566.876</v>
      </c>
      <c r="E27" s="30" t="n">
        <f aca="false">E11-E24</f>
        <v>145829.05852</v>
      </c>
      <c r="F27" s="30" t="n">
        <f aca="false">F11-F24</f>
        <v>148115.2100404</v>
      </c>
      <c r="G27" s="30" t="n">
        <f aca="false">G11-G24</f>
        <v>150425.171701708</v>
      </c>
      <c r="H27" s="30" t="n">
        <f aca="false">H11-H24</f>
        <v>152758.762320057</v>
      </c>
      <c r="I27" s="30" t="n">
        <f aca="false">I11-I24</f>
        <v>155115.777366303</v>
      </c>
      <c r="J27" s="30" t="n">
        <f aca="false">J11-J24</f>
        <v>157495.987907469</v>
      </c>
      <c r="K27" s="30" t="n">
        <f aca="false">K11-K24</f>
        <v>159899.139509273</v>
      </c>
      <c r="L27" s="30" t="n">
        <f aca="false">L11-L24</f>
        <v>162324.951098423</v>
      </c>
      <c r="M27" s="30" t="n">
        <f aca="false">M11-M24</f>
        <v>164773.113783325</v>
      </c>
    </row>
    <row r="29" customFormat="false" ht="15.75" hidden="false" customHeight="true" outlineLevel="0" collapsed="false">
      <c r="B29" s="5" t="s">
        <v>263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</row>
    <row r="30" customFormat="false" ht="15" hidden="false" customHeight="true" outlineLevel="0" collapsed="false">
      <c r="B30" s="8" t="s">
        <v>160</v>
      </c>
      <c r="C30" s="23" t="n">
        <v>0</v>
      </c>
      <c r="D30" s="23" t="n">
        <f aca="false">'Property Inputs'!C40</f>
        <v>178853.535424306</v>
      </c>
      <c r="E30" s="23" t="n">
        <f aca="false">'Property Inputs'!C40</f>
        <v>178853.535424306</v>
      </c>
      <c r="F30" s="23" t="n">
        <f aca="false">'Property Inputs'!C40</f>
        <v>178853.535424306</v>
      </c>
      <c r="G30" s="23" t="n">
        <f aca="false">'Property Inputs'!C40</f>
        <v>178853.535424306</v>
      </c>
      <c r="H30" s="23" t="n">
        <f aca="false">'Property Inputs'!C40</f>
        <v>178853.535424306</v>
      </c>
      <c r="I30" s="23" t="n">
        <f aca="false">'Property Inputs'!C40</f>
        <v>178853.535424306</v>
      </c>
      <c r="J30" s="23" t="n">
        <f aca="false">'Property Inputs'!C40</f>
        <v>178853.535424306</v>
      </c>
      <c r="K30" s="23" t="n">
        <f aca="false">'Property Inputs'!C40</f>
        <v>178853.535424306</v>
      </c>
      <c r="L30" s="23" t="n">
        <f aca="false">'Property Inputs'!C40</f>
        <v>178853.535424306</v>
      </c>
      <c r="M30" s="23" t="n">
        <f aca="false">'Property Inputs'!C40</f>
        <v>178853.535424306</v>
      </c>
    </row>
    <row r="31" customFormat="false" ht="15" hidden="false" customHeight="true" outlineLevel="0" collapsed="false">
      <c r="B31" s="26" t="s">
        <v>264</v>
      </c>
      <c r="C31" s="25" t="n">
        <f aca="false">C27-C30</f>
        <v>141328.8</v>
      </c>
      <c r="D31" s="25" t="n">
        <f aca="false">D27-D30</f>
        <v>-35286.659424306</v>
      </c>
      <c r="E31" s="25" t="n">
        <f aca="false">E27-E30</f>
        <v>-33024.4769043059</v>
      </c>
      <c r="F31" s="25" t="n">
        <f aca="false">F27-F30</f>
        <v>-30738.3253839059</v>
      </c>
      <c r="G31" s="25" t="n">
        <f aca="false">G27-G30</f>
        <v>-28428.3637225979</v>
      </c>
      <c r="H31" s="25" t="n">
        <f aca="false">H27-H30</f>
        <v>-26094.7731042488</v>
      </c>
      <c r="I31" s="25" t="n">
        <f aca="false">I27-I30</f>
        <v>-23737.7580580031</v>
      </c>
      <c r="J31" s="25" t="n">
        <f aca="false">J27-J30</f>
        <v>-21357.5475168373</v>
      </c>
      <c r="K31" s="25" t="n">
        <f aca="false">K27-K30</f>
        <v>-18954.3959150329</v>
      </c>
      <c r="L31" s="25" t="n">
        <f aca="false">L27-L30</f>
        <v>-16528.5843258829</v>
      </c>
      <c r="M31" s="25" t="n">
        <f aca="false">M27-M30</f>
        <v>-14080.4216409809</v>
      </c>
    </row>
    <row r="33" customFormat="false" ht="15" hidden="false" customHeight="true" outlineLevel="0" collapsed="false">
      <c r="B33" s="8" t="s">
        <v>265</v>
      </c>
      <c r="D33" s="40" t="n">
        <f aca="false">IF(D30=0,0,D27/D30)</f>
        <v>0.802706391346455</v>
      </c>
      <c r="E33" s="40" t="n">
        <f aca="false">IF(E30=0,0,E27/E30)</f>
        <v>0.815354631788744</v>
      </c>
      <c r="F33" s="40" t="n">
        <f aca="false">IF(F30=0,0,F27/F30)</f>
        <v>0.828136886917089</v>
      </c>
      <c r="G33" s="40" t="n">
        <f aca="false">IF(G30=0,0,G27/G30)</f>
        <v>0.841052268521528</v>
      </c>
      <c r="H33" s="40" t="n">
        <f aca="false">IF(H30=0,0,H27/H30)</f>
        <v>0.854099763572789</v>
      </c>
      <c r="I33" s="40" t="n">
        <f aca="false">IF(I30=0,0,I27/I30)</f>
        <v>0.867278228514251</v>
      </c>
      <c r="J33" s="40" t="n">
        <f aca="false">IF(J30=0,0,J27/J30)</f>
        <v>0.880586383343391</v>
      </c>
      <c r="K33" s="40" t="n">
        <f aca="false">IF(K30=0,0,K27/K30)</f>
        <v>0.89402280547563</v>
      </c>
      <c r="L33" s="40" t="n">
        <f aca="false">IF(L30=0,0,L27/L30)</f>
        <v>0.907585923383225</v>
      </c>
      <c r="M33" s="40" t="n">
        <f aca="false">IF(M30=0,0,M27/M30)</f>
        <v>0.921274010001664</v>
      </c>
    </row>
    <row r="34" customFormat="false" ht="15" hidden="false" customHeight="true" outlineLevel="0" collapsed="false">
      <c r="B34" s="8" t="s">
        <v>266</v>
      </c>
      <c r="D34" s="32" t="n">
        <f aca="false">IF('Property Inputs'!C37=0,0,D31/'Property Inputs'!C37)</f>
        <v>-0.0299039486646661</v>
      </c>
      <c r="E34" s="32" t="n">
        <f aca="false">IF('Property Inputs'!C37=0,0,E31/'Property Inputs'!C37)</f>
        <v>-0.0279868448341576</v>
      </c>
      <c r="F34" s="32" t="n">
        <f aca="false">IF('Property Inputs'!C37=0,0,F31/'Property Inputs'!C37)</f>
        <v>-0.0260494282914457</v>
      </c>
      <c r="G34" s="32" t="n">
        <f aca="false">IF('Property Inputs'!C37=0,0,G31/'Property Inputs'!C37)</f>
        <v>-0.0240918336632186</v>
      </c>
      <c r="H34" s="32" t="n">
        <f aca="false">IF('Property Inputs'!C37=0,0,H31/'Property Inputs'!C37)</f>
        <v>-0.0221142144951261</v>
      </c>
      <c r="I34" s="32" t="n">
        <f aca="false">IF('Property Inputs'!C37=0,0,I31/'Property Inputs'!C37)</f>
        <v>-0.0201167441169518</v>
      </c>
      <c r="J34" s="32" t="n">
        <f aca="false">IF('Property Inputs'!C37=0,0,J31/'Property Inputs'!C37)</f>
        <v>-0.0180996165396926</v>
      </c>
      <c r="K34" s="32" t="n">
        <f aca="false">IF('Property Inputs'!C37=0,0,K31/'Property Inputs'!C37)</f>
        <v>-0.0160630473856211</v>
      </c>
      <c r="L34" s="32" t="n">
        <f aca="false">IF('Property Inputs'!C37=0,0,L31/'Property Inputs'!C37)</f>
        <v>-0.0140072748524431</v>
      </c>
      <c r="M34" s="32" t="n">
        <f aca="false">IF('Property Inputs'!C37=0,0,M31/'Property Inputs'!C37)</f>
        <v>-0.0119325607126957</v>
      </c>
    </row>
    <row r="36" customFormat="false" ht="15.75" hidden="false" customHeight="true" outlineLevel="0" collapsed="false">
      <c r="B36" s="5" t="s">
        <v>267</v>
      </c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</row>
    <row r="37" customFormat="false" ht="15" hidden="false" customHeight="true" outlineLevel="0" collapsed="false">
      <c r="B37" s="8" t="s">
        <v>268</v>
      </c>
      <c r="M37" s="23" t="n">
        <f aca="false">M27*(1+'Property Inputs'!C16)</f>
        <v>168068.576058992</v>
      </c>
    </row>
    <row r="38" customFormat="false" ht="15" hidden="false" customHeight="true" outlineLevel="0" collapsed="false">
      <c r="B38" s="8" t="s">
        <v>269</v>
      </c>
      <c r="M38" s="32" t="n">
        <f aca="false">'Property Inputs'!C18</f>
        <v>0.065</v>
      </c>
    </row>
    <row r="39" customFormat="false" ht="15" hidden="false" customHeight="true" outlineLevel="0" collapsed="false">
      <c r="B39" s="8" t="s">
        <v>270</v>
      </c>
      <c r="M39" s="23" t="n">
        <f aca="false">M37/M38</f>
        <v>2585670.40090756</v>
      </c>
    </row>
    <row r="40" customFormat="false" ht="15" hidden="false" customHeight="true" outlineLevel="0" collapsed="false">
      <c r="B40" s="8" t="s">
        <v>271</v>
      </c>
      <c r="M40" s="23" t="n">
        <f aca="false">-M39*0.02</f>
        <v>-51713.4080181513</v>
      </c>
    </row>
    <row r="41" customFormat="false" ht="15" hidden="false" customHeight="true" outlineLevel="0" collapsed="false">
      <c r="B41" s="8" t="s">
        <v>272</v>
      </c>
      <c r="M41" s="23" t="n">
        <f aca="false">M39+M40</f>
        <v>2533956.99288941</v>
      </c>
    </row>
    <row r="42" customFormat="false" ht="15" hidden="false" customHeight="false" outlineLevel="0" collapsed="false"/>
    <row r="43" customFormat="false" ht="15.75" hidden="false" customHeight="true" outlineLevel="0" collapsed="false">
      <c r="B43" s="5" t="s">
        <v>273</v>
      </c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</row>
    <row r="44" customFormat="false" ht="15" hidden="false" customHeight="true" outlineLevel="0" collapsed="false">
      <c r="B44" s="8" t="s">
        <v>274</v>
      </c>
      <c r="C44" s="23" t="n">
        <f aca="false">-'Property Inputs'!C37</f>
        <v>-1180000</v>
      </c>
    </row>
    <row r="45" customFormat="false" ht="15" hidden="false" customHeight="true" outlineLevel="0" collapsed="false">
      <c r="B45" s="8" t="s">
        <v>275</v>
      </c>
      <c r="C45" s="23" t="n">
        <f aca="false">C44</f>
        <v>-1180000</v>
      </c>
      <c r="D45" s="23" t="n">
        <f aca="false">D31</f>
        <v>-35286.659424306</v>
      </c>
      <c r="E45" s="23" t="n">
        <f aca="false">E31</f>
        <v>-33024.4769043059</v>
      </c>
      <c r="F45" s="23" t="n">
        <f aca="false">F31</f>
        <v>-30738.3253839059</v>
      </c>
      <c r="G45" s="23" t="n">
        <f aca="false">G31</f>
        <v>-28428.3637225979</v>
      </c>
      <c r="H45" s="23" t="n">
        <f aca="false">H31</f>
        <v>-26094.7731042488</v>
      </c>
      <c r="I45" s="23" t="n">
        <f aca="false">I31</f>
        <v>-23737.7580580031</v>
      </c>
      <c r="J45" s="23" t="n">
        <f aca="false">J31</f>
        <v>-21357.5475168373</v>
      </c>
      <c r="K45" s="23" t="n">
        <f aca="false">K31</f>
        <v>-18954.3959150329</v>
      </c>
      <c r="L45" s="23" t="n">
        <f aca="false">L31</f>
        <v>-16528.5843258829</v>
      </c>
      <c r="M45" s="23" t="n">
        <f aca="false">M31+M41</f>
        <v>2519876.57124843</v>
      </c>
    </row>
    <row r="46" customFormat="false" ht="15" hidden="false" customHeight="false" outlineLevel="0" collapsed="false"/>
    <row r="47" customFormat="false" ht="17.25" hidden="false" customHeight="true" outlineLevel="0" collapsed="false">
      <c r="B47" s="29" t="s">
        <v>276</v>
      </c>
      <c r="C47" s="41" t="n">
        <f aca="false">IFERROR(IRR(C45:M45),"N/A")</f>
        <v>0.0635623496423297</v>
      </c>
      <c r="D47" s="41"/>
    </row>
    <row r="48" customFormat="false" ht="17.25" hidden="false" customHeight="true" outlineLevel="0" collapsed="false">
      <c r="B48" s="29" t="s">
        <v>277</v>
      </c>
      <c r="C48" s="42" t="n">
        <f aca="false">NPV('Property Inputs'!C25,D45:M45)+C45</f>
        <v>-366775.393276664</v>
      </c>
      <c r="D48" s="42"/>
    </row>
    <row r="49" customFormat="false" ht="17.25" hidden="false" customHeight="true" outlineLevel="0" collapsed="false">
      <c r="B49" s="29" t="s">
        <v>278</v>
      </c>
      <c r="C49" s="43" t="n">
        <f aca="false">IFERROR((SUM(D31:M31)+M41)/-C44,"N/A")</f>
        <v>1.93705566685874</v>
      </c>
      <c r="D49" s="43"/>
    </row>
  </sheetData>
  <mergeCells count="11">
    <mergeCell ref="B2:M2"/>
    <mergeCell ref="B3:M3"/>
    <mergeCell ref="B6:M6"/>
    <mergeCell ref="B13:M13"/>
    <mergeCell ref="B26:M26"/>
    <mergeCell ref="B29:M29"/>
    <mergeCell ref="B36:M36"/>
    <mergeCell ref="B43:M43"/>
    <mergeCell ref="C47:D47"/>
    <mergeCell ref="C48:D48"/>
    <mergeCell ref="C49:D49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944454"/>
    <pageSetUpPr fitToPage="false"/>
  </sheetPr>
  <dimension ref="B1:J4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" width="3"/>
    <col collapsed="false" customWidth="true" hidden="false" outlineLevel="0" max="2" min="2" style="1" width="22"/>
    <col collapsed="false" customWidth="true" hidden="false" outlineLevel="0" max="13" min="3" style="1" width="16"/>
  </cols>
  <sheetData>
    <row r="1" customFormat="false" ht="15" hidden="false" customHeight="false" outlineLevel="0" collapsed="false"/>
    <row r="2" customFormat="false" ht="34.5" hidden="false" customHeight="true" outlineLevel="0" collapsed="false">
      <c r="B2" s="16" t="s">
        <v>279</v>
      </c>
      <c r="C2" s="16"/>
      <c r="D2" s="16"/>
      <c r="E2" s="16"/>
      <c r="F2" s="16"/>
      <c r="G2" s="16"/>
      <c r="H2" s="16"/>
      <c r="I2" s="16"/>
      <c r="J2" s="16"/>
    </row>
    <row r="3" customFormat="false" ht="15" hidden="false" customHeight="true" outlineLevel="0" collapsed="false">
      <c r="B3" s="4" t="s">
        <v>280</v>
      </c>
      <c r="C3" s="4"/>
      <c r="D3" s="4"/>
      <c r="E3" s="4"/>
      <c r="F3" s="4"/>
      <c r="G3" s="4"/>
      <c r="H3" s="4"/>
      <c r="I3" s="4"/>
      <c r="J3" s="4"/>
    </row>
    <row r="4" customFormat="false" ht="15" hidden="false" customHeight="false" outlineLevel="0" collapsed="false"/>
    <row r="5" customFormat="false" ht="15.75" hidden="false" customHeight="true" outlineLevel="0" collapsed="false">
      <c r="B5" s="5" t="s">
        <v>281</v>
      </c>
      <c r="C5" s="5"/>
      <c r="D5" s="5"/>
      <c r="E5" s="5"/>
      <c r="F5" s="5"/>
      <c r="G5" s="5"/>
      <c r="H5" s="5"/>
      <c r="I5" s="5"/>
      <c r="J5" s="5"/>
    </row>
    <row r="6" customFormat="false" ht="15" hidden="false" customHeight="true" outlineLevel="0" collapsed="false">
      <c r="B6" s="6" t="s">
        <v>282</v>
      </c>
      <c r="C6" s="6" t="s">
        <v>283</v>
      </c>
      <c r="D6" s="6" t="s">
        <v>284</v>
      </c>
    </row>
    <row r="7" customFormat="false" ht="15" hidden="false" customHeight="true" outlineLevel="0" collapsed="false">
      <c r="B7" s="33" t="s">
        <v>285</v>
      </c>
      <c r="C7" s="23" t="n">
        <f aca="false">'DCF Projections'!D27/0.04</f>
        <v>3589171.9</v>
      </c>
      <c r="D7" s="23" t="n">
        <f aca="false">C7/'Property Inputs'!C9</f>
        <v>179458.595</v>
      </c>
    </row>
    <row r="8" customFormat="false" ht="15" hidden="false" customHeight="true" outlineLevel="0" collapsed="false">
      <c r="B8" s="33" t="s">
        <v>286</v>
      </c>
      <c r="C8" s="23" t="n">
        <f aca="false">'DCF Projections'!D27/0.045</f>
        <v>3190375.02222222</v>
      </c>
      <c r="D8" s="23" t="n">
        <f aca="false">C8/'Property Inputs'!C9</f>
        <v>159518.751111111</v>
      </c>
    </row>
    <row r="9" customFormat="false" ht="15" hidden="false" customHeight="true" outlineLevel="0" collapsed="false">
      <c r="B9" s="33" t="s">
        <v>287</v>
      </c>
      <c r="C9" s="23" t="n">
        <f aca="false">'DCF Projections'!D27/0.05</f>
        <v>2871337.52</v>
      </c>
      <c r="D9" s="23" t="n">
        <f aca="false">C9/'Property Inputs'!C9</f>
        <v>143566.876</v>
      </c>
    </row>
    <row r="10" customFormat="false" ht="15" hidden="false" customHeight="true" outlineLevel="0" collapsed="false">
      <c r="B10" s="33" t="s">
        <v>288</v>
      </c>
      <c r="C10" s="23" t="n">
        <f aca="false">'DCF Projections'!D27/0.055</f>
        <v>2610306.83636364</v>
      </c>
      <c r="D10" s="23" t="n">
        <f aca="false">C10/'Property Inputs'!C9</f>
        <v>130515.341818182</v>
      </c>
    </row>
    <row r="11" customFormat="false" ht="15" hidden="false" customHeight="true" outlineLevel="0" collapsed="false">
      <c r="B11" s="33" t="s">
        <v>289</v>
      </c>
      <c r="C11" s="23" t="n">
        <f aca="false">'DCF Projections'!D27/0.06</f>
        <v>2392781.26666667</v>
      </c>
      <c r="D11" s="23" t="n">
        <f aca="false">C11/'Property Inputs'!C9</f>
        <v>119639.063333333</v>
      </c>
    </row>
    <row r="12" customFormat="false" ht="15" hidden="false" customHeight="true" outlineLevel="0" collapsed="false">
      <c r="B12" s="33" t="s">
        <v>290</v>
      </c>
      <c r="C12" s="23" t="n">
        <f aca="false">'DCF Projections'!D27/0.065</f>
        <v>2208721.16923077</v>
      </c>
      <c r="D12" s="23" t="n">
        <f aca="false">C12/'Property Inputs'!C9</f>
        <v>110436.058461538</v>
      </c>
    </row>
    <row r="13" customFormat="false" ht="15" hidden="false" customHeight="true" outlineLevel="0" collapsed="false">
      <c r="B13" s="33" t="s">
        <v>291</v>
      </c>
      <c r="C13" s="23" t="n">
        <f aca="false">'DCF Projections'!D27/0.07</f>
        <v>2050955.37142857</v>
      </c>
      <c r="D13" s="23" t="n">
        <f aca="false">C13/'Property Inputs'!C9</f>
        <v>102547.768571429</v>
      </c>
    </row>
    <row r="14" customFormat="false" ht="15" hidden="false" customHeight="true" outlineLevel="0" collapsed="false">
      <c r="B14" s="33" t="s">
        <v>292</v>
      </c>
      <c r="C14" s="23" t="n">
        <f aca="false">'DCF Projections'!D27/0.075</f>
        <v>1914225.01333333</v>
      </c>
      <c r="D14" s="23" t="n">
        <f aca="false">C14/'Property Inputs'!C9</f>
        <v>95711.2506666667</v>
      </c>
    </row>
    <row r="15" customFormat="false" ht="15" hidden="false" customHeight="true" outlineLevel="0" collapsed="false">
      <c r="B15" s="33" t="s">
        <v>293</v>
      </c>
      <c r="C15" s="23" t="n">
        <f aca="false">'DCF Projections'!D27/0.08</f>
        <v>1794585.95</v>
      </c>
      <c r="D15" s="23" t="n">
        <f aca="false">C15/'Property Inputs'!C9</f>
        <v>89729.2975</v>
      </c>
    </row>
    <row r="16" customFormat="false" ht="15" hidden="false" customHeight="false" outlineLevel="0" collapsed="false"/>
    <row r="17" customFormat="false" ht="15" hidden="false" customHeight="false" outlineLevel="0" collapsed="false"/>
    <row r="18" customFormat="false" ht="15.75" hidden="false" customHeight="true" outlineLevel="0" collapsed="false">
      <c r="B18" s="5" t="s">
        <v>294</v>
      </c>
      <c r="C18" s="5"/>
      <c r="D18" s="5"/>
      <c r="E18" s="5"/>
      <c r="F18" s="5"/>
      <c r="G18" s="5"/>
      <c r="H18" s="5"/>
      <c r="I18" s="5"/>
      <c r="J18" s="5"/>
    </row>
    <row r="19" customFormat="false" ht="15" hidden="false" customHeight="true" outlineLevel="0" collapsed="false">
      <c r="B19" s="6" t="s">
        <v>295</v>
      </c>
      <c r="C19" s="6" t="s">
        <v>296</v>
      </c>
      <c r="D19" s="6" t="s">
        <v>297</v>
      </c>
      <c r="E19" s="6" t="s">
        <v>298</v>
      </c>
      <c r="F19" s="6" t="s">
        <v>299</v>
      </c>
      <c r="G19" s="6" t="s">
        <v>300</v>
      </c>
    </row>
    <row r="20" customFormat="false" ht="15" hidden="false" customHeight="true" outlineLevel="0" collapsed="false">
      <c r="B20" s="33" t="s">
        <v>285</v>
      </c>
      <c r="C20" s="44" t="n">
        <f aca="false">'DCF Projections'!D27*(1+0)^10/0.04</f>
        <v>3589171.9</v>
      </c>
      <c r="D20" s="44" t="n">
        <f aca="false">'DCF Projections'!D27*(1+0.01)^10/0.04</f>
        <v>3964678.69264417</v>
      </c>
      <c r="E20" s="44" t="n">
        <f aca="false">'DCF Projections'!D27*(1+0.02)^10/0.04</f>
        <v>4375180.51850198</v>
      </c>
      <c r="F20" s="44" t="n">
        <f aca="false">'DCF Projections'!D27*(1+0.03)^10/0.04</f>
        <v>4823546.90469166</v>
      </c>
      <c r="G20" s="44" t="n">
        <f aca="false">'DCF Projections'!D27*(1+0.04)^10/0.04</f>
        <v>5312851.19256452</v>
      </c>
    </row>
    <row r="21" customFormat="false" ht="15" hidden="false" customHeight="true" outlineLevel="0" collapsed="false">
      <c r="B21" s="33" t="s">
        <v>286</v>
      </c>
      <c r="C21" s="44" t="n">
        <f aca="false">'DCF Projections'!D27*(1+0)^10/0.045</f>
        <v>3190375.02222222</v>
      </c>
      <c r="D21" s="44" t="n">
        <f aca="false">'DCF Projections'!D27*(1+0.01)^10/0.045</f>
        <v>3524158.83790593</v>
      </c>
      <c r="E21" s="44" t="n">
        <f aca="false">'DCF Projections'!D27*(1+0.02)^10/0.045</f>
        <v>3889049.34977954</v>
      </c>
      <c r="F21" s="44" t="n">
        <f aca="false">'DCF Projections'!D27*(1+0.03)^10/0.045</f>
        <v>4287597.24861481</v>
      </c>
      <c r="G21" s="44" t="n">
        <f aca="false">'DCF Projections'!D27*(1+0.04)^10/0.045</f>
        <v>4722534.39339068</v>
      </c>
    </row>
    <row r="22" customFormat="false" ht="15" hidden="false" customHeight="true" outlineLevel="0" collapsed="false">
      <c r="B22" s="33" t="s">
        <v>287</v>
      </c>
      <c r="C22" s="44" t="n">
        <f aca="false">'DCF Projections'!D27*(1+0)^10/0.05</f>
        <v>2871337.52</v>
      </c>
      <c r="D22" s="44" t="n">
        <f aca="false">'DCF Projections'!D27*(1+0.01)^10/0.05</f>
        <v>3171742.95411534</v>
      </c>
      <c r="E22" s="44" t="n">
        <f aca="false">'DCF Projections'!D27*(1+0.02)^10/0.05</f>
        <v>3500144.41480158</v>
      </c>
      <c r="F22" s="44" t="n">
        <f aca="false">'DCF Projections'!D27*(1+0.03)^10/0.05</f>
        <v>3858837.52375333</v>
      </c>
      <c r="G22" s="44" t="n">
        <f aca="false">'DCF Projections'!D27*(1+0.04)^10/0.05</f>
        <v>4250280.95405161</v>
      </c>
    </row>
    <row r="23" customFormat="false" ht="15" hidden="false" customHeight="true" outlineLevel="0" collapsed="false">
      <c r="B23" s="33" t="s">
        <v>288</v>
      </c>
      <c r="C23" s="44" t="n">
        <f aca="false">'DCF Projections'!D27*(1+0)^10/0.055</f>
        <v>2610306.83636364</v>
      </c>
      <c r="D23" s="44" t="n">
        <f aca="false">'DCF Projections'!D27*(1+0.01)^10/0.055</f>
        <v>2883402.6855594</v>
      </c>
      <c r="E23" s="44" t="n">
        <f aca="false">'DCF Projections'!D27*(1+0.02)^10/0.055</f>
        <v>3181949.46800144</v>
      </c>
      <c r="F23" s="44" t="n">
        <f aca="false">'DCF Projections'!D27*(1+0.03)^10/0.055</f>
        <v>3508034.11250303</v>
      </c>
      <c r="G23" s="44" t="n">
        <f aca="false">'DCF Projections'!D27*(1+0.04)^10/0.055</f>
        <v>3863891.77641056</v>
      </c>
    </row>
    <row r="24" customFormat="false" ht="15" hidden="false" customHeight="true" outlineLevel="0" collapsed="false">
      <c r="B24" s="33" t="s">
        <v>289</v>
      </c>
      <c r="C24" s="44" t="n">
        <f aca="false">'DCF Projections'!D27*(1+0)^10/0.06</f>
        <v>2392781.26666667</v>
      </c>
      <c r="D24" s="44" t="n">
        <f aca="false">'DCF Projections'!D27*(1+0.01)^10/0.06</f>
        <v>2643119.12842945</v>
      </c>
      <c r="E24" s="44" t="n">
        <f aca="false">'DCF Projections'!D27*(1+0.02)^10/0.06</f>
        <v>2916787.01233465</v>
      </c>
      <c r="F24" s="44" t="n">
        <f aca="false">'DCF Projections'!D27*(1+0.03)^10/0.06</f>
        <v>3215697.93646111</v>
      </c>
      <c r="G24" s="44" t="n">
        <f aca="false">'DCF Projections'!D27*(1+0.04)^10/0.06</f>
        <v>3541900.79504301</v>
      </c>
    </row>
    <row r="25" customFormat="false" ht="15" hidden="false" customHeight="true" outlineLevel="0" collapsed="false">
      <c r="B25" s="33" t="s">
        <v>290</v>
      </c>
      <c r="C25" s="44" t="n">
        <f aca="false">'DCF Projections'!D27*(1+0)^10/0.065</f>
        <v>2208721.16923077</v>
      </c>
      <c r="D25" s="44" t="n">
        <f aca="false">'DCF Projections'!D27*(1+0.01)^10/0.065</f>
        <v>2439802.27239641</v>
      </c>
      <c r="E25" s="44" t="n">
        <f aca="false">'DCF Projections'!D27*(1+0.02)^10/0.065</f>
        <v>2692418.7806166</v>
      </c>
      <c r="F25" s="44" t="n">
        <f aca="false">'DCF Projections'!D27*(1+0.03)^10/0.065</f>
        <v>2968336.55673333</v>
      </c>
      <c r="G25" s="44" t="n">
        <f aca="false">'DCF Projections'!D27*(1+0.04)^10/0.065</f>
        <v>3269446.88773201</v>
      </c>
    </row>
    <row r="26" customFormat="false" ht="15" hidden="false" customHeight="true" outlineLevel="0" collapsed="false">
      <c r="B26" s="33" t="s">
        <v>291</v>
      </c>
      <c r="C26" s="44" t="n">
        <f aca="false">'DCF Projections'!D27*(1+0)^10/0.07</f>
        <v>2050955.37142857</v>
      </c>
      <c r="D26" s="44" t="n">
        <f aca="false">'DCF Projections'!D27*(1+0.01)^10/0.07</f>
        <v>2265530.68151095</v>
      </c>
      <c r="E26" s="44" t="n">
        <f aca="false">'DCF Projections'!D27*(1+0.02)^10/0.07</f>
        <v>2500103.1534297</v>
      </c>
      <c r="F26" s="44" t="n">
        <f aca="false">'DCF Projections'!D27*(1+0.03)^10/0.07</f>
        <v>2756312.51696666</v>
      </c>
      <c r="G26" s="44" t="n">
        <f aca="false">'DCF Projections'!D27*(1+0.04)^10/0.07</f>
        <v>3035914.96717972</v>
      </c>
    </row>
    <row r="27" customFormat="false" ht="15" hidden="false" customHeight="true" outlineLevel="0" collapsed="false">
      <c r="B27" s="33" t="s">
        <v>292</v>
      </c>
      <c r="C27" s="44" t="n">
        <f aca="false">'DCF Projections'!D27*(1+0)^10/0.075</f>
        <v>1914225.01333333</v>
      </c>
      <c r="D27" s="44" t="n">
        <f aca="false">'DCF Projections'!D27*(1+0.01)^10/0.075</f>
        <v>2114495.30274356</v>
      </c>
      <c r="E27" s="44" t="n">
        <f aca="false">'DCF Projections'!D27*(1+0.02)^10/0.075</f>
        <v>2333429.60986772</v>
      </c>
      <c r="F27" s="44" t="n">
        <f aca="false">'DCF Projections'!D27*(1+0.03)^10/0.075</f>
        <v>2572558.34916889</v>
      </c>
      <c r="G27" s="44" t="n">
        <f aca="false">'DCF Projections'!D27*(1+0.04)^10/0.075</f>
        <v>2833520.63603441</v>
      </c>
    </row>
    <row r="28" customFormat="false" ht="15" hidden="false" customHeight="true" outlineLevel="0" collapsed="false">
      <c r="B28" s="33" t="s">
        <v>293</v>
      </c>
      <c r="C28" s="44" t="n">
        <f aca="false">'DCF Projections'!D27*(1+0)^10/0.08</f>
        <v>1794585.95</v>
      </c>
      <c r="D28" s="44" t="n">
        <f aca="false">'DCF Projections'!D27*(1+0.01)^10/0.08</f>
        <v>1982339.34632209</v>
      </c>
      <c r="E28" s="44" t="n">
        <f aca="false">'DCF Projections'!D27*(1+0.02)^10/0.08</f>
        <v>2187590.25925099</v>
      </c>
      <c r="F28" s="44" t="n">
        <f aca="false">'DCF Projections'!D27*(1+0.03)^10/0.08</f>
        <v>2411773.45234583</v>
      </c>
      <c r="G28" s="44" t="n">
        <f aca="false">'DCF Projections'!D27*(1+0.04)^10/0.08</f>
        <v>2656425.59628226</v>
      </c>
    </row>
    <row r="29" customFormat="false" ht="15" hidden="false" customHeight="false" outlineLevel="0" collapsed="false"/>
    <row r="30" customFormat="false" ht="15" hidden="false" customHeight="false" outlineLevel="0" collapsed="false"/>
    <row r="31" customFormat="false" ht="15.75" hidden="false" customHeight="true" outlineLevel="0" collapsed="false">
      <c r="B31" s="5" t="s">
        <v>301</v>
      </c>
      <c r="C31" s="5"/>
      <c r="D31" s="5"/>
      <c r="E31" s="5"/>
      <c r="F31" s="5"/>
      <c r="G31" s="5"/>
      <c r="H31" s="5"/>
      <c r="I31" s="5"/>
      <c r="J31" s="5"/>
    </row>
    <row r="32" customFormat="false" ht="15" hidden="false" customHeight="true" outlineLevel="0" collapsed="false">
      <c r="B32" s="6" t="s">
        <v>269</v>
      </c>
      <c r="C32" s="6" t="s">
        <v>302</v>
      </c>
      <c r="D32" s="6" t="s">
        <v>303</v>
      </c>
      <c r="E32" s="6" t="s">
        <v>278</v>
      </c>
    </row>
    <row r="33" customFormat="false" ht="15" hidden="false" customHeight="true" outlineLevel="0" collapsed="false">
      <c r="B33" s="33" t="s">
        <v>285</v>
      </c>
      <c r="C33" s="23" t="n">
        <f aca="false">'DCF Projections'!M27*(1+'Property Inputs'!C16)/0.04</f>
        <v>4201714.40147479</v>
      </c>
      <c r="D33" s="32" t="n">
        <f aca="false">IFERROR((SUM('DCF Projections'!D31:M31)+C33*0.98)/'Property Inputs'!C37-1,"N/A")</f>
        <v>2.27919390461796</v>
      </c>
      <c r="E33" s="40" t="n">
        <f aca="false">IFERROR((SUM('DCF Projections'!D31:M31)+C33*0.98)/'Property Inputs'!C37,"N/A")</f>
        <v>3.27919390461796</v>
      </c>
    </row>
    <row r="34" customFormat="false" ht="15" hidden="false" customHeight="true" outlineLevel="0" collapsed="false">
      <c r="B34" s="33" t="s">
        <v>286</v>
      </c>
      <c r="C34" s="23" t="n">
        <f aca="false">'DCF Projections'!M27*(1+'Property Inputs'!C16)/0.045</f>
        <v>3734857.24575537</v>
      </c>
      <c r="D34" s="32" t="n">
        <f aca="false">IFERROR((SUM('DCF Projections'!D31:M31)+C34*0.98)/'Property Inputs'!C37-1,"N/A")</f>
        <v>1.89146508037641</v>
      </c>
      <c r="E34" s="40" t="n">
        <f aca="false">IFERROR((SUM('DCF Projections'!D31:M31)+C34*0.98)/'Property Inputs'!C37,"N/A")</f>
        <v>2.89146508037641</v>
      </c>
    </row>
    <row r="35" customFormat="false" ht="15" hidden="false" customHeight="true" outlineLevel="0" collapsed="false">
      <c r="B35" s="33" t="s">
        <v>287</v>
      </c>
      <c r="C35" s="23" t="n">
        <f aca="false">'DCF Projections'!M27*(1+'Property Inputs'!C16)/0.05</f>
        <v>3361371.52117983</v>
      </c>
      <c r="D35" s="32" t="n">
        <f aca="false">IFERROR((SUM('DCF Projections'!D31:M31)+C35*0.98)/'Property Inputs'!C37-1,"N/A")</f>
        <v>1.58128202098316</v>
      </c>
      <c r="E35" s="40" t="n">
        <f aca="false">IFERROR((SUM('DCF Projections'!D31:M31)+C35*0.98)/'Property Inputs'!C37,"N/A")</f>
        <v>2.58128202098316</v>
      </c>
    </row>
    <row r="36" customFormat="false" ht="15" hidden="false" customHeight="true" outlineLevel="0" collapsed="false">
      <c r="B36" s="33" t="s">
        <v>288</v>
      </c>
      <c r="C36" s="23" t="n">
        <f aca="false">'DCF Projections'!M27*(1+'Property Inputs'!C16)/0.055</f>
        <v>3055792.29198167</v>
      </c>
      <c r="D36" s="32" t="n">
        <f aca="false">IFERROR((SUM('DCF Projections'!D31:M31)+C36*0.98)/'Property Inputs'!C37-1,"N/A")</f>
        <v>1.3274958814796</v>
      </c>
      <c r="E36" s="40" t="n">
        <f aca="false">IFERROR((SUM('DCF Projections'!D31:M31)+C36*0.98)/'Property Inputs'!C37,"N/A")</f>
        <v>2.3274958814796</v>
      </c>
    </row>
    <row r="37" customFormat="false" ht="15" hidden="false" customHeight="true" outlineLevel="0" collapsed="false">
      <c r="B37" s="33" t="s">
        <v>289</v>
      </c>
      <c r="C37" s="23" t="n">
        <f aca="false">'DCF Projections'!M27*(1+'Property Inputs'!C16)/0.06</f>
        <v>2801142.93431653</v>
      </c>
      <c r="D37" s="32" t="n">
        <f aca="false">IFERROR((SUM('DCF Projections'!D31:M31)+C37*0.98)/'Property Inputs'!C37-1,"N/A")</f>
        <v>1.1160074318933</v>
      </c>
      <c r="E37" s="40" t="n">
        <f aca="false">IFERROR((SUM('DCF Projections'!D31:M31)+C37*0.98)/'Property Inputs'!C37,"N/A")</f>
        <v>2.1160074318933</v>
      </c>
    </row>
    <row r="38" customFormat="false" ht="15" hidden="false" customHeight="true" outlineLevel="0" collapsed="false">
      <c r="B38" s="33" t="s">
        <v>290</v>
      </c>
      <c r="C38" s="23" t="n">
        <f aca="false">'DCF Projections'!M27*(1+'Property Inputs'!C16)/0.065</f>
        <v>2585670.40090756</v>
      </c>
      <c r="D38" s="32" t="n">
        <f aca="false">IFERROR((SUM('DCF Projections'!D31:M31)+C38*0.98)/'Property Inputs'!C37-1,"N/A")</f>
        <v>0.937055666858737</v>
      </c>
      <c r="E38" s="40" t="n">
        <f aca="false">IFERROR((SUM('DCF Projections'!D31:M31)+C38*0.98)/'Property Inputs'!C37,"N/A")</f>
        <v>1.93705566685874</v>
      </c>
    </row>
    <row r="39" customFormat="false" ht="15" hidden="false" customHeight="true" outlineLevel="0" collapsed="false">
      <c r="B39" s="33" t="s">
        <v>291</v>
      </c>
      <c r="C39" s="23" t="n">
        <f aca="false">'DCF Projections'!M27*(1+'Property Inputs'!C16)/0.07</f>
        <v>2400979.65798559</v>
      </c>
      <c r="D39" s="32" t="n">
        <f aca="false">IFERROR((SUM('DCF Projections'!D31:M31)+C39*0.98)/'Property Inputs'!C37-1,"N/A")</f>
        <v>0.783668439686254</v>
      </c>
      <c r="E39" s="40" t="n">
        <f aca="false">IFERROR((SUM('DCF Projections'!D31:M31)+C39*0.98)/'Property Inputs'!C37,"N/A")</f>
        <v>1.78366843968625</v>
      </c>
    </row>
    <row r="40" customFormat="false" ht="15" hidden="false" customHeight="true" outlineLevel="0" collapsed="false">
      <c r="B40" s="33" t="s">
        <v>292</v>
      </c>
      <c r="C40" s="23" t="n">
        <f aca="false">'DCF Projections'!M27*(1+'Property Inputs'!C16)/0.075</f>
        <v>2240914.34745322</v>
      </c>
      <c r="D40" s="32" t="n">
        <f aca="false">IFERROR((SUM('DCF Projections'!D31:M31)+C40*0.98)/'Property Inputs'!C37-1,"N/A")</f>
        <v>0.650732842803437</v>
      </c>
      <c r="E40" s="40" t="n">
        <f aca="false">IFERROR((SUM('DCF Projections'!D31:M31)+C40*0.98)/'Property Inputs'!C37,"N/A")</f>
        <v>1.65073284280344</v>
      </c>
    </row>
    <row r="41" customFormat="false" ht="15" hidden="false" customHeight="true" outlineLevel="0" collapsed="false">
      <c r="B41" s="33" t="s">
        <v>293</v>
      </c>
      <c r="C41" s="23" t="n">
        <f aca="false">'DCF Projections'!M27*(1+'Property Inputs'!C16)/0.08</f>
        <v>2100857.20073739</v>
      </c>
      <c r="D41" s="32" t="n">
        <f aca="false">IFERROR((SUM('DCF Projections'!D31:M31)+C41*0.98)/'Property Inputs'!C37-1,"N/A")</f>
        <v>0.53441419553097</v>
      </c>
      <c r="E41" s="40" t="n">
        <f aca="false">IFERROR((SUM('DCF Projections'!D31:M31)+C41*0.98)/'Property Inputs'!C37,"N/A")</f>
        <v>1.53441419553097</v>
      </c>
    </row>
  </sheetData>
  <mergeCells count="5">
    <mergeCell ref="B2:J2"/>
    <mergeCell ref="B3:J3"/>
    <mergeCell ref="B5:J5"/>
    <mergeCell ref="B18:J18"/>
    <mergeCell ref="B31:J31"/>
  </mergeCells>
  <conditionalFormatting sqref="C7:C15">
    <cfRule type="colorScale" priority="2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C20:G28">
    <cfRule type="colorScale" priority="3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437A22"/>
    <pageSetUpPr fitToPage="false"/>
  </sheetPr>
  <dimension ref="B2:L5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" width="3"/>
    <col collapsed="false" customWidth="true" hidden="false" outlineLevel="0" max="2" min="2" style="1" width="30"/>
    <col collapsed="false" customWidth="true" hidden="false" outlineLevel="0" max="9" min="3" style="1" width="18"/>
  </cols>
  <sheetData>
    <row r="2" customFormat="false" ht="34.5" hidden="false" customHeight="true" outlineLevel="0" collapsed="false">
      <c r="B2" s="16" t="s">
        <v>304</v>
      </c>
      <c r="C2" s="16"/>
      <c r="D2" s="16"/>
      <c r="E2" s="16"/>
      <c r="F2" s="16"/>
      <c r="G2" s="16"/>
      <c r="H2" s="16"/>
    </row>
    <row r="3" customFormat="false" ht="15" hidden="false" customHeight="true" outlineLevel="0" collapsed="false">
      <c r="B3" s="4" t="s">
        <v>305</v>
      </c>
      <c r="C3" s="4"/>
      <c r="D3" s="4"/>
      <c r="E3" s="4"/>
      <c r="F3" s="4"/>
      <c r="G3" s="4"/>
      <c r="H3" s="4"/>
    </row>
    <row r="5" customFormat="false" ht="15.75" hidden="false" customHeight="true" outlineLevel="0" collapsed="false">
      <c r="B5" s="5" t="s">
        <v>306</v>
      </c>
      <c r="C5" s="5"/>
      <c r="D5" s="5"/>
      <c r="E5" s="5"/>
    </row>
    <row r="6" customFormat="false" ht="15" hidden="false" customHeight="true" outlineLevel="0" collapsed="false">
      <c r="B6" s="6" t="s">
        <v>242</v>
      </c>
      <c r="C6" s="6" t="s">
        <v>307</v>
      </c>
      <c r="D6" s="6" t="s">
        <v>308</v>
      </c>
    </row>
    <row r="7" customFormat="false" ht="15" hidden="false" customHeight="true" outlineLevel="0" collapsed="false">
      <c r="B7" s="8" t="s">
        <v>140</v>
      </c>
      <c r="C7" s="45" t="n">
        <f aca="false">'DCF Projections'!D27/'Property Inputs'!C15</f>
        <v>0.0410191074285714</v>
      </c>
      <c r="D7" s="46" t="s">
        <v>309</v>
      </c>
    </row>
    <row r="8" customFormat="false" ht="15" hidden="false" customHeight="true" outlineLevel="0" collapsed="false">
      <c r="B8" s="8" t="s">
        <v>310</v>
      </c>
      <c r="C8" s="45" t="n">
        <f aca="false">'DCF Projections'!D31/'Property Inputs'!C37</f>
        <v>-0.0299039486646661</v>
      </c>
      <c r="D8" s="46" t="s">
        <v>311</v>
      </c>
    </row>
    <row r="9" customFormat="false" ht="15" hidden="false" customHeight="true" outlineLevel="0" collapsed="false">
      <c r="B9" s="8" t="s">
        <v>276</v>
      </c>
      <c r="C9" s="47" t="n">
        <f aca="false">'DCF Projections'!C47</f>
        <v>0.0635623496423297</v>
      </c>
      <c r="D9" s="46" t="s">
        <v>312</v>
      </c>
    </row>
    <row r="10" customFormat="false" ht="15" hidden="false" customHeight="true" outlineLevel="0" collapsed="false">
      <c r="B10" s="8" t="s">
        <v>313</v>
      </c>
      <c r="C10" s="48" t="n">
        <f aca="false">'DCF Projections'!C48</f>
        <v>-366775.393276664</v>
      </c>
      <c r="D10" s="46" t="s">
        <v>314</v>
      </c>
    </row>
    <row r="11" customFormat="false" ht="15" hidden="false" customHeight="true" outlineLevel="0" collapsed="false">
      <c r="B11" s="8" t="s">
        <v>278</v>
      </c>
      <c r="C11" s="49" t="n">
        <f aca="false">'DCF Projections'!C49</f>
        <v>1.93705566685874</v>
      </c>
      <c r="D11" s="46" t="s">
        <v>315</v>
      </c>
    </row>
    <row r="12" customFormat="false" ht="15" hidden="false" customHeight="true" outlineLevel="0" collapsed="false">
      <c r="B12" s="8" t="s">
        <v>316</v>
      </c>
      <c r="C12" s="49" t="n">
        <f aca="false">AVERAGE('DCF Projections'!D33:M33)</f>
        <v>0.861209729286477</v>
      </c>
      <c r="D12" s="46" t="s">
        <v>317</v>
      </c>
    </row>
    <row r="13" customFormat="false" ht="15" hidden="false" customHeight="true" outlineLevel="0" collapsed="false">
      <c r="B13" s="8" t="s">
        <v>318</v>
      </c>
      <c r="C13" s="45" t="n">
        <f aca="false">'DCF Projections'!D27/('Property Inputs'!C15+'Property Inputs'!C15*'Property Inputs'!C23+'Property Inputs'!C24)</f>
        <v>0.0377311106438896</v>
      </c>
      <c r="D13" s="46" t="s">
        <v>319</v>
      </c>
    </row>
    <row r="14" customFormat="false" ht="15" hidden="false" customHeight="true" outlineLevel="0" collapsed="false">
      <c r="B14" s="8" t="s">
        <v>320</v>
      </c>
      <c r="C14" s="45" t="n">
        <f aca="false">('DCF Projections'!D24+'DCF Projections'!D30)/'DCF Projections'!D9</f>
        <v>1.09051488278423</v>
      </c>
      <c r="D14" s="46" t="s">
        <v>321</v>
      </c>
    </row>
    <row r="17" customFormat="false" ht="15.75" hidden="false" customHeight="true" outlineLevel="0" collapsed="false">
      <c r="B17" s="5" t="s">
        <v>322</v>
      </c>
      <c r="C17" s="5"/>
      <c r="D17" s="5"/>
      <c r="E17" s="5"/>
      <c r="F17" s="5"/>
      <c r="G17" s="5"/>
      <c r="H17" s="5"/>
    </row>
    <row r="18" customFormat="false" ht="15" hidden="false" customHeight="true" outlineLevel="0" collapsed="false">
      <c r="B18" s="6" t="s">
        <v>323</v>
      </c>
      <c r="C18" s="6" t="s">
        <v>324</v>
      </c>
      <c r="D18" s="6" t="s">
        <v>325</v>
      </c>
      <c r="E18" s="6" t="s">
        <v>326</v>
      </c>
      <c r="F18" s="6" t="s">
        <v>327</v>
      </c>
      <c r="G18" s="6" t="s">
        <v>328</v>
      </c>
      <c r="H18" s="6" t="s">
        <v>329</v>
      </c>
      <c r="I18" s="6" t="s">
        <v>330</v>
      </c>
      <c r="J18" s="6" t="s">
        <v>331</v>
      </c>
      <c r="K18" s="6" t="s">
        <v>332</v>
      </c>
      <c r="L18" s="6" t="s">
        <v>333</v>
      </c>
    </row>
    <row r="19" customFormat="false" ht="15" hidden="false" customHeight="true" outlineLevel="0" collapsed="false">
      <c r="B19" s="8" t="s">
        <v>334</v>
      </c>
      <c r="C19" s="50" t="n">
        <f aca="false">'DCF Projections'!D33</f>
        <v>0.802706391346455</v>
      </c>
      <c r="D19" s="50" t="n">
        <f aca="false">'DCF Projections'!E33</f>
        <v>0.815354631788744</v>
      </c>
      <c r="E19" s="50" t="n">
        <f aca="false">'DCF Projections'!F33</f>
        <v>0.828136886917089</v>
      </c>
      <c r="F19" s="50" t="n">
        <f aca="false">'DCF Projections'!G33</f>
        <v>0.841052268521528</v>
      </c>
      <c r="G19" s="50" t="n">
        <f aca="false">'DCF Projections'!H33</f>
        <v>0.854099763572789</v>
      </c>
      <c r="H19" s="50" t="n">
        <f aca="false">'DCF Projections'!I33</f>
        <v>0.867278228514251</v>
      </c>
      <c r="I19" s="50" t="n">
        <f aca="false">'DCF Projections'!J33</f>
        <v>0.880586383343391</v>
      </c>
      <c r="J19" s="50" t="n">
        <f aca="false">'DCF Projections'!K33</f>
        <v>0.89402280547563</v>
      </c>
      <c r="K19" s="50" t="n">
        <f aca="false">'DCF Projections'!L33</f>
        <v>0.907585923383225</v>
      </c>
      <c r="L19" s="50" t="n">
        <f aca="false">'DCF Projections'!M33</f>
        <v>0.921274010001664</v>
      </c>
    </row>
    <row r="20" customFormat="false" ht="15" hidden="false" customHeight="true" outlineLevel="0" collapsed="false">
      <c r="B20" s="8" t="s">
        <v>335</v>
      </c>
      <c r="C20" s="39" t="n">
        <f aca="false">'DCF Projections'!D31</f>
        <v>-35286.659424306</v>
      </c>
      <c r="D20" s="39" t="n">
        <f aca="false">'DCF Projections'!E31</f>
        <v>-33024.4769043059</v>
      </c>
      <c r="E20" s="39" t="n">
        <f aca="false">'DCF Projections'!F31</f>
        <v>-30738.3253839059</v>
      </c>
      <c r="F20" s="39" t="n">
        <f aca="false">'DCF Projections'!G31</f>
        <v>-28428.3637225979</v>
      </c>
      <c r="G20" s="39" t="n">
        <f aca="false">'DCF Projections'!H31</f>
        <v>-26094.7731042488</v>
      </c>
      <c r="H20" s="39" t="n">
        <f aca="false">'DCF Projections'!I31</f>
        <v>-23737.7580580031</v>
      </c>
      <c r="I20" s="39" t="n">
        <f aca="false">'DCF Projections'!J31</f>
        <v>-21357.5475168373</v>
      </c>
      <c r="J20" s="39" t="n">
        <f aca="false">'DCF Projections'!K31</f>
        <v>-18954.3959150329</v>
      </c>
      <c r="K20" s="39" t="n">
        <f aca="false">'DCF Projections'!L31</f>
        <v>-16528.5843258829</v>
      </c>
      <c r="L20" s="39" t="n">
        <f aca="false">'DCF Projections'!M31</f>
        <v>-14080.4216409809</v>
      </c>
    </row>
    <row r="23" customFormat="false" ht="15.75" hidden="false" customHeight="true" outlineLevel="0" collapsed="false">
      <c r="B23" s="5" t="s">
        <v>336</v>
      </c>
      <c r="C23" s="5"/>
      <c r="D23" s="5"/>
      <c r="E23" s="5"/>
      <c r="F23" s="5"/>
      <c r="G23" s="5"/>
      <c r="H23" s="5"/>
    </row>
    <row r="24" customFormat="false" ht="15" hidden="false" customHeight="true" outlineLevel="0" collapsed="false">
      <c r="B24" s="4" t="s">
        <v>337</v>
      </c>
      <c r="C24" s="4"/>
      <c r="D24" s="4"/>
      <c r="E24" s="4"/>
      <c r="F24" s="4"/>
      <c r="G24" s="4"/>
      <c r="H24" s="4"/>
    </row>
    <row r="25" customFormat="false" ht="15" hidden="false" customHeight="true" outlineLevel="0" collapsed="false">
      <c r="B25" s="6" t="s">
        <v>338</v>
      </c>
      <c r="C25" s="6" t="s">
        <v>339</v>
      </c>
      <c r="D25" s="6" t="s">
        <v>340</v>
      </c>
      <c r="E25" s="6" t="s">
        <v>341</v>
      </c>
    </row>
    <row r="26" customFormat="false" ht="15" hidden="false" customHeight="true" outlineLevel="0" collapsed="false">
      <c r="B26" s="8" t="s">
        <v>276</v>
      </c>
      <c r="C26" s="51" t="n">
        <v>0.0496395648834889</v>
      </c>
      <c r="D26" s="51" t="n">
        <v>0.0192886839207286</v>
      </c>
      <c r="E26" s="51" t="n">
        <v>0.0494722071589448</v>
      </c>
    </row>
    <row r="27" customFormat="false" ht="15" hidden="false" customHeight="true" outlineLevel="0" collapsed="false">
      <c r="B27" s="8" t="s">
        <v>278</v>
      </c>
      <c r="C27" s="52" t="n">
        <v>1.73417707536826</v>
      </c>
      <c r="D27" s="52" t="n">
        <v>1.25455414109899</v>
      </c>
      <c r="E27" s="52" t="n">
        <v>1.70717754494057</v>
      </c>
    </row>
    <row r="29" customFormat="false" ht="15" hidden="false" customHeight="true" outlineLevel="0" collapsed="false">
      <c r="B29" s="6" t="s">
        <v>342</v>
      </c>
      <c r="C29" s="6" t="s">
        <v>343</v>
      </c>
      <c r="D29" s="6" t="s">
        <v>344</v>
      </c>
    </row>
    <row r="30" customFormat="false" ht="15" hidden="false" customHeight="true" outlineLevel="0" collapsed="false">
      <c r="B30" s="8" t="s">
        <v>345</v>
      </c>
      <c r="C30" s="53" t="n">
        <v>0</v>
      </c>
      <c r="D30" s="54" t="s">
        <v>346</v>
      </c>
    </row>
    <row r="31" customFormat="false" ht="15" hidden="false" customHeight="true" outlineLevel="0" collapsed="false">
      <c r="B31" s="8" t="s">
        <v>347</v>
      </c>
      <c r="C31" s="53" t="n">
        <v>0</v>
      </c>
      <c r="D31" s="54" t="s">
        <v>346</v>
      </c>
    </row>
    <row r="32" customFormat="false" ht="15" hidden="false" customHeight="true" outlineLevel="0" collapsed="false">
      <c r="B32" s="8" t="s">
        <v>348</v>
      </c>
      <c r="C32" s="53" t="n">
        <v>0.179</v>
      </c>
      <c r="D32" s="54" t="s">
        <v>346</v>
      </c>
    </row>
    <row r="34" customFormat="false" ht="15.75" hidden="false" customHeight="true" outlineLevel="0" collapsed="false">
      <c r="B34" s="5" t="s">
        <v>349</v>
      </c>
      <c r="C34" s="5"/>
      <c r="D34" s="5"/>
      <c r="E34" s="5"/>
    </row>
    <row r="35" customFormat="false" ht="24" hidden="false" customHeight="true" outlineLevel="0" collapsed="false">
      <c r="B35" s="8" t="s">
        <v>350</v>
      </c>
      <c r="C35" s="55" t="n">
        <v>28</v>
      </c>
      <c r="D35" s="56" t="s">
        <v>351</v>
      </c>
    </row>
    <row r="36" customFormat="false" ht="15" hidden="false" customHeight="true" outlineLevel="0" collapsed="false">
      <c r="B36" s="57" t="s">
        <v>352</v>
      </c>
      <c r="C36" s="57"/>
      <c r="D36" s="57"/>
      <c r="E36" s="57"/>
      <c r="F36" s="57"/>
      <c r="G36" s="57"/>
      <c r="H36" s="57"/>
    </row>
    <row r="37" customFormat="false" ht="15" hidden="false" customHeight="true" outlineLevel="0" collapsed="false">
      <c r="B37" s="57" t="s">
        <v>353</v>
      </c>
      <c r="C37" s="57"/>
      <c r="D37" s="57"/>
      <c r="E37" s="57"/>
      <c r="F37" s="57"/>
      <c r="G37" s="57"/>
      <c r="H37" s="57"/>
    </row>
    <row r="38" customFormat="false" ht="15" hidden="false" customHeight="true" outlineLevel="0" collapsed="false">
      <c r="B38" s="57" t="s">
        <v>354</v>
      </c>
      <c r="C38" s="57"/>
      <c r="D38" s="57"/>
      <c r="E38" s="57"/>
      <c r="F38" s="57"/>
      <c r="G38" s="57"/>
      <c r="H38" s="57"/>
    </row>
    <row r="39" customFormat="false" ht="15" hidden="false" customHeight="true" outlineLevel="0" collapsed="false">
      <c r="B39" s="57" t="s">
        <v>355</v>
      </c>
      <c r="C39" s="57"/>
      <c r="D39" s="57"/>
      <c r="E39" s="57"/>
      <c r="F39" s="57"/>
      <c r="G39" s="57"/>
      <c r="H39" s="57"/>
    </row>
    <row r="42" customFormat="false" ht="15.75" hidden="false" customHeight="true" outlineLevel="0" collapsed="false">
      <c r="B42" s="5" t="s">
        <v>356</v>
      </c>
      <c r="C42" s="5"/>
      <c r="D42" s="5"/>
      <c r="E42" s="5"/>
    </row>
    <row r="43" customFormat="false" ht="15" hidden="false" customHeight="true" outlineLevel="0" collapsed="false">
      <c r="B43" s="6" t="s">
        <v>357</v>
      </c>
      <c r="C43" s="6" t="s">
        <v>358</v>
      </c>
    </row>
    <row r="44" customFormat="false" ht="15" hidden="false" customHeight="true" outlineLevel="0" collapsed="false">
      <c r="B44" s="8" t="s">
        <v>359</v>
      </c>
      <c r="C44" s="58" t="n">
        <v>511</v>
      </c>
    </row>
    <row r="45" customFormat="false" ht="15" hidden="false" customHeight="true" outlineLevel="0" collapsed="false">
      <c r="B45" s="8" t="s">
        <v>360</v>
      </c>
      <c r="C45" s="58" t="n">
        <v>438</v>
      </c>
    </row>
    <row r="46" customFormat="false" ht="15" hidden="false" customHeight="true" outlineLevel="0" collapsed="false">
      <c r="B46" s="8" t="s">
        <v>361</v>
      </c>
      <c r="C46" s="58" t="n">
        <v>48</v>
      </c>
    </row>
    <row r="47" customFormat="false" ht="15" hidden="false" customHeight="true" outlineLevel="0" collapsed="false">
      <c r="B47" s="8" t="s">
        <v>362</v>
      </c>
      <c r="C47" s="58" t="n">
        <v>3</v>
      </c>
    </row>
    <row r="48" customFormat="false" ht="15" hidden="false" customHeight="true" outlineLevel="0" collapsed="false">
      <c r="B48" s="8" t="s">
        <v>363</v>
      </c>
      <c r="C48" s="58" t="n">
        <v>0</v>
      </c>
    </row>
    <row r="49" customFormat="false" ht="15" hidden="false" customHeight="true" outlineLevel="0" collapsed="false">
      <c r="B49" s="8" t="s">
        <v>364</v>
      </c>
      <c r="C49" s="58" t="n">
        <v>0</v>
      </c>
    </row>
    <row r="50" customFormat="false" ht="15" hidden="false" customHeight="true" outlineLevel="0" collapsed="false">
      <c r="B50" s="8" t="s">
        <v>365</v>
      </c>
      <c r="C50" s="58" t="n">
        <v>0</v>
      </c>
    </row>
  </sheetData>
  <mergeCells count="12">
    <mergeCell ref="B2:H2"/>
    <mergeCell ref="B3:H3"/>
    <mergeCell ref="B5:E5"/>
    <mergeCell ref="B17:H17"/>
    <mergeCell ref="B23:H23"/>
    <mergeCell ref="B24:H24"/>
    <mergeCell ref="B34:E34"/>
    <mergeCell ref="B36:H36"/>
    <mergeCell ref="B37:H37"/>
    <mergeCell ref="B38:H38"/>
    <mergeCell ref="B39:H39"/>
    <mergeCell ref="B42:E42"/>
  </mergeCells>
  <conditionalFormatting sqref="C19:L19">
    <cfRule type="cellIs" priority="2" operator="lessThan" aboveAverage="0" equalAverage="0" bottom="0" percent="0" rank="0" text="" dxfId="0">
      <formula>1.25</formula>
    </cfRule>
    <cfRule type="cellIs" priority="3" operator="greaterThanOrEqual" aboveAverage="0" equalAverage="0" bottom="0" percent="0" rank="0" text="" dxfId="1">
      <formula>1.25</formula>
    </cfRule>
  </conditionalFormatting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1696F"/>
    <pageSetUpPr fitToPage="false"/>
  </sheetPr>
  <dimension ref="B2:L6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" width="3"/>
    <col collapsed="false" customWidth="true" hidden="false" outlineLevel="0" max="2" min="2" style="1" width="22"/>
    <col collapsed="false" customWidth="true" hidden="false" outlineLevel="0" max="13" min="3" style="1" width="18"/>
  </cols>
  <sheetData>
    <row r="2" customFormat="false" ht="45" hidden="false" customHeight="true" outlineLevel="0" collapsed="false">
      <c r="B2" s="59" t="s">
        <v>366</v>
      </c>
      <c r="C2" s="59"/>
      <c r="D2" s="59"/>
      <c r="E2" s="59"/>
      <c r="F2" s="59"/>
      <c r="G2" s="59"/>
      <c r="H2" s="59"/>
      <c r="I2" s="59"/>
      <c r="J2" s="59"/>
      <c r="K2" s="59"/>
      <c r="L2" s="59"/>
    </row>
    <row r="3" customFormat="false" ht="24.75" hidden="false" customHeight="true" outlineLevel="0" collapsed="false">
      <c r="B3" s="60" t="s">
        <v>367</v>
      </c>
      <c r="C3" s="60"/>
      <c r="D3" s="60"/>
      <c r="E3" s="60"/>
      <c r="F3" s="60"/>
      <c r="G3" s="60"/>
      <c r="H3" s="60"/>
      <c r="I3" s="60"/>
      <c r="J3" s="60"/>
      <c r="K3" s="60"/>
      <c r="L3" s="60"/>
    </row>
    <row r="5" customFormat="false" ht="15.75" hidden="false" customHeight="true" outlineLevel="0" collapsed="false">
      <c r="B5" s="5" t="s">
        <v>368</v>
      </c>
      <c r="C5" s="5"/>
      <c r="D5" s="5"/>
      <c r="E5" s="5"/>
      <c r="F5" s="5"/>
      <c r="G5" s="5"/>
      <c r="H5" s="5"/>
      <c r="I5" s="5"/>
      <c r="J5" s="5"/>
      <c r="K5" s="5"/>
      <c r="L5" s="5"/>
    </row>
    <row r="6" customFormat="false" ht="18" hidden="false" customHeight="true" outlineLevel="0" collapsed="false">
      <c r="B6" s="56" t="s">
        <v>132</v>
      </c>
      <c r="D6" s="56" t="s">
        <v>369</v>
      </c>
      <c r="F6" s="56" t="s">
        <v>370</v>
      </c>
      <c r="H6" s="56" t="s">
        <v>276</v>
      </c>
      <c r="J6" s="56" t="s">
        <v>278</v>
      </c>
      <c r="L6" s="56" t="s">
        <v>371</v>
      </c>
    </row>
    <row r="7" customFormat="false" ht="30" hidden="false" customHeight="true" outlineLevel="0" collapsed="false">
      <c r="B7" s="61" t="n">
        <f aca="false">'Property Inputs'!C15</f>
        <v>3500000</v>
      </c>
      <c r="D7" s="61" t="n">
        <f aca="false">'DCF Projections'!D27</f>
        <v>143566.876</v>
      </c>
      <c r="F7" s="62" t="n">
        <f aca="false">'Returns &amp; Risk'!C7</f>
        <v>0.0410191074285714</v>
      </c>
      <c r="H7" s="63" t="n">
        <f aca="false">'DCF Projections'!C47</f>
        <v>0.0635623496423297</v>
      </c>
      <c r="J7" s="64" t="n">
        <f aca="false">'DCF Projections'!C49</f>
        <v>1.93705566685874</v>
      </c>
      <c r="L7" s="65" t="n">
        <v>28</v>
      </c>
    </row>
    <row r="8" customFormat="false" ht="3.75" hidden="false" customHeight="true" outlineLevel="0" collapsed="false">
      <c r="B8" s="66"/>
      <c r="D8" s="66"/>
      <c r="F8" s="66"/>
      <c r="H8" s="66"/>
      <c r="J8" s="66"/>
      <c r="L8" s="66"/>
    </row>
    <row r="10" customFormat="false" ht="15.75" hidden="false" customHeight="true" outlineLevel="0" collapsed="false">
      <c r="B10" s="5" t="s">
        <v>372</v>
      </c>
      <c r="C10" s="5"/>
      <c r="D10" s="5"/>
      <c r="E10" s="5"/>
      <c r="F10" s="5"/>
    </row>
    <row r="11" customFormat="false" ht="15" hidden="false" customHeight="true" outlineLevel="0" collapsed="false">
      <c r="B11" s="6" t="s">
        <v>323</v>
      </c>
      <c r="C11" s="6" t="s">
        <v>324</v>
      </c>
      <c r="D11" s="6" t="s">
        <v>325</v>
      </c>
      <c r="E11" s="6" t="s">
        <v>326</v>
      </c>
      <c r="F11" s="6" t="s">
        <v>327</v>
      </c>
      <c r="G11" s="6" t="s">
        <v>328</v>
      </c>
      <c r="H11" s="6" t="s">
        <v>329</v>
      </c>
      <c r="I11" s="6" t="s">
        <v>330</v>
      </c>
      <c r="J11" s="6" t="s">
        <v>331</v>
      </c>
      <c r="K11" s="6" t="s">
        <v>332</v>
      </c>
      <c r="L11" s="6" t="s">
        <v>333</v>
      </c>
    </row>
    <row r="12" customFormat="false" ht="15" hidden="false" customHeight="true" outlineLevel="0" collapsed="false">
      <c r="B12" s="8" t="s">
        <v>373</v>
      </c>
      <c r="C12" s="39" t="n">
        <f aca="false">'DCF Projections'!D27</f>
        <v>143566.876</v>
      </c>
      <c r="D12" s="39" t="n">
        <f aca="false">'DCF Projections'!E27</f>
        <v>145829.05852</v>
      </c>
      <c r="E12" s="39" t="n">
        <f aca="false">'DCF Projections'!F27</f>
        <v>148115.2100404</v>
      </c>
      <c r="F12" s="39" t="n">
        <f aca="false">'DCF Projections'!G27</f>
        <v>150425.171701708</v>
      </c>
      <c r="G12" s="39" t="n">
        <f aca="false">'DCF Projections'!H27</f>
        <v>152758.762320057</v>
      </c>
      <c r="H12" s="39" t="n">
        <f aca="false">'DCF Projections'!I27</f>
        <v>155115.777366303</v>
      </c>
      <c r="I12" s="39" t="n">
        <f aca="false">'DCF Projections'!J27</f>
        <v>157495.987907469</v>
      </c>
      <c r="J12" s="39" t="n">
        <f aca="false">'DCF Projections'!K27</f>
        <v>159899.139509273</v>
      </c>
      <c r="K12" s="39" t="n">
        <f aca="false">'DCF Projections'!L27</f>
        <v>162324.951098423</v>
      </c>
      <c r="L12" s="39" t="n">
        <f aca="false">'DCF Projections'!M27</f>
        <v>164773.113783325</v>
      </c>
    </row>
    <row r="13" customFormat="false" ht="15" hidden="false" customHeight="true" outlineLevel="0" collapsed="false">
      <c r="B13" s="8" t="s">
        <v>335</v>
      </c>
      <c r="C13" s="39" t="n">
        <f aca="false">'DCF Projections'!D31</f>
        <v>-35286.659424306</v>
      </c>
      <c r="D13" s="39" t="n">
        <f aca="false">'DCF Projections'!E31</f>
        <v>-33024.4769043059</v>
      </c>
      <c r="E13" s="39" t="n">
        <f aca="false">'DCF Projections'!F31</f>
        <v>-30738.3253839059</v>
      </c>
      <c r="F13" s="39" t="n">
        <f aca="false">'DCF Projections'!G31</f>
        <v>-28428.3637225979</v>
      </c>
      <c r="G13" s="39" t="n">
        <f aca="false">'DCF Projections'!H31</f>
        <v>-26094.7731042488</v>
      </c>
      <c r="H13" s="39" t="n">
        <f aca="false">'DCF Projections'!I31</f>
        <v>-23737.7580580031</v>
      </c>
      <c r="I13" s="39" t="n">
        <f aca="false">'DCF Projections'!J31</f>
        <v>-21357.5475168373</v>
      </c>
      <c r="J13" s="39" t="n">
        <f aca="false">'DCF Projections'!K31</f>
        <v>-18954.3959150329</v>
      </c>
      <c r="K13" s="39" t="n">
        <f aca="false">'DCF Projections'!L31</f>
        <v>-16528.5843258829</v>
      </c>
      <c r="L13" s="39" t="n">
        <f aca="false">'DCF Projections'!M31</f>
        <v>-14080.4216409809</v>
      </c>
    </row>
    <row r="32" customFormat="false" ht="15.75" hidden="false" customHeight="true" outlineLevel="0" collapsed="false">
      <c r="B32" s="5" t="s">
        <v>374</v>
      </c>
      <c r="C32" s="5"/>
      <c r="D32" s="5"/>
      <c r="E32" s="5"/>
      <c r="F32" s="5"/>
    </row>
    <row r="33" customFormat="false" ht="15" hidden="false" customHeight="true" outlineLevel="0" collapsed="false">
      <c r="B33" s="6" t="s">
        <v>323</v>
      </c>
      <c r="C33" s="6" t="s">
        <v>324</v>
      </c>
      <c r="D33" s="6" t="s">
        <v>325</v>
      </c>
      <c r="E33" s="6" t="s">
        <v>326</v>
      </c>
      <c r="F33" s="6" t="s">
        <v>327</v>
      </c>
      <c r="G33" s="6" t="s">
        <v>328</v>
      </c>
      <c r="H33" s="6" t="s">
        <v>329</v>
      </c>
      <c r="I33" s="6" t="s">
        <v>330</v>
      </c>
      <c r="J33" s="6" t="s">
        <v>331</v>
      </c>
      <c r="K33" s="6" t="s">
        <v>332</v>
      </c>
      <c r="L33" s="6" t="s">
        <v>333</v>
      </c>
    </row>
    <row r="34" customFormat="false" ht="15" hidden="false" customHeight="true" outlineLevel="0" collapsed="false">
      <c r="B34" s="8" t="s">
        <v>334</v>
      </c>
      <c r="C34" s="50" t="n">
        <f aca="false">'Returns &amp; Risk'!C19</f>
        <v>0.802706391346455</v>
      </c>
      <c r="D34" s="50" t="n">
        <f aca="false">'Returns &amp; Risk'!D19</f>
        <v>0.815354631788744</v>
      </c>
      <c r="E34" s="50" t="n">
        <f aca="false">'Returns &amp; Risk'!E19</f>
        <v>0.828136886917089</v>
      </c>
      <c r="F34" s="50" t="n">
        <f aca="false">'Returns &amp; Risk'!F19</f>
        <v>0.841052268521528</v>
      </c>
      <c r="G34" s="50" t="n">
        <f aca="false">'Returns &amp; Risk'!G19</f>
        <v>0.854099763572789</v>
      </c>
      <c r="H34" s="50" t="n">
        <f aca="false">'Returns &amp; Risk'!H19</f>
        <v>0.867278228514251</v>
      </c>
      <c r="I34" s="50" t="n">
        <f aca="false">'Returns &amp; Risk'!I19</f>
        <v>0.880586383343391</v>
      </c>
      <c r="J34" s="50" t="n">
        <f aca="false">'Returns &amp; Risk'!J19</f>
        <v>0.89402280547563</v>
      </c>
      <c r="K34" s="50" t="n">
        <f aca="false">'Returns &amp; Risk'!K19</f>
        <v>0.907585923383225</v>
      </c>
      <c r="L34" s="50" t="n">
        <f aca="false">'Returns &amp; Risk'!L19</f>
        <v>0.921274010001664</v>
      </c>
    </row>
    <row r="35" customFormat="false" ht="15" hidden="false" customHeight="true" outlineLevel="0" collapsed="false">
      <c r="B35" s="8" t="s">
        <v>375</v>
      </c>
      <c r="C35" s="52" t="n">
        <v>1.25</v>
      </c>
      <c r="D35" s="52" t="n">
        <v>1.25</v>
      </c>
      <c r="E35" s="52" t="n">
        <v>1.25</v>
      </c>
      <c r="F35" s="52" t="n">
        <v>1.25</v>
      </c>
      <c r="G35" s="52" t="n">
        <v>1.25</v>
      </c>
      <c r="H35" s="52" t="n">
        <v>1.25</v>
      </c>
      <c r="I35" s="52" t="n">
        <v>1.25</v>
      </c>
      <c r="J35" s="52" t="n">
        <v>1.25</v>
      </c>
      <c r="K35" s="52" t="n">
        <v>1.25</v>
      </c>
      <c r="L35" s="52" t="n">
        <v>1.25</v>
      </c>
    </row>
    <row r="54" customFormat="false" ht="15.75" hidden="false" customHeight="true" outlineLevel="0" collapsed="false">
      <c r="B54" s="5" t="s">
        <v>376</v>
      </c>
      <c r="C54" s="5"/>
      <c r="D54" s="5"/>
      <c r="E54" s="5"/>
      <c r="F54" s="5"/>
      <c r="G54" s="5"/>
      <c r="H54" s="5"/>
      <c r="I54" s="5"/>
      <c r="J54" s="5"/>
      <c r="K54" s="5"/>
      <c r="L54" s="5"/>
    </row>
    <row r="55" customFormat="false" ht="15" hidden="false" customHeight="true" outlineLevel="0" collapsed="false">
      <c r="B55" s="6" t="s">
        <v>242</v>
      </c>
      <c r="C55" s="6" t="s">
        <v>377</v>
      </c>
      <c r="D55" s="6" t="s">
        <v>378</v>
      </c>
      <c r="E55" s="6" t="s">
        <v>379</v>
      </c>
      <c r="F55" s="6" t="s">
        <v>380</v>
      </c>
    </row>
    <row r="56" customFormat="false" ht="15" hidden="false" customHeight="true" outlineLevel="0" collapsed="false">
      <c r="B56" s="8" t="s">
        <v>381</v>
      </c>
      <c r="C56" s="67" t="s">
        <v>382</v>
      </c>
      <c r="D56" s="67" t="s">
        <v>383</v>
      </c>
      <c r="E56" s="67" t="s">
        <v>384</v>
      </c>
      <c r="F56" s="35"/>
    </row>
    <row r="57" customFormat="false" ht="15" hidden="false" customHeight="true" outlineLevel="0" collapsed="false">
      <c r="B57" s="8" t="s">
        <v>385</v>
      </c>
      <c r="C57" s="67" t="s">
        <v>383</v>
      </c>
      <c r="D57" s="67" t="s">
        <v>382</v>
      </c>
      <c r="E57" s="67" t="s">
        <v>285</v>
      </c>
      <c r="F57" s="35"/>
    </row>
    <row r="58" customFormat="false" ht="15" hidden="false" customHeight="true" outlineLevel="0" collapsed="false">
      <c r="B58" s="8" t="s">
        <v>269</v>
      </c>
      <c r="C58" s="67" t="s">
        <v>290</v>
      </c>
      <c r="D58" s="67" t="s">
        <v>287</v>
      </c>
      <c r="E58" s="67" t="s">
        <v>293</v>
      </c>
      <c r="F58" s="35"/>
    </row>
    <row r="59" customFormat="false" ht="15" hidden="false" customHeight="true" outlineLevel="0" collapsed="false">
      <c r="B59" s="8" t="s">
        <v>151</v>
      </c>
      <c r="C59" s="67" t="s">
        <v>288</v>
      </c>
      <c r="D59" s="67" t="s">
        <v>285</v>
      </c>
      <c r="E59" s="67" t="s">
        <v>291</v>
      </c>
      <c r="F59" s="35"/>
    </row>
    <row r="60" customFormat="false" ht="15" hidden="false" customHeight="true" outlineLevel="0" collapsed="false">
      <c r="B60" s="8" t="s">
        <v>276</v>
      </c>
      <c r="C60" s="67"/>
      <c r="D60" s="67"/>
      <c r="E60" s="67"/>
      <c r="F60" s="35"/>
    </row>
    <row r="61" customFormat="false" ht="15" hidden="false" customHeight="true" outlineLevel="0" collapsed="false">
      <c r="B61" s="8" t="s">
        <v>278</v>
      </c>
      <c r="C61" s="67"/>
      <c r="D61" s="67"/>
      <c r="E61" s="67"/>
      <c r="F61" s="35"/>
    </row>
    <row r="62" customFormat="false" ht="15" hidden="false" customHeight="true" outlineLevel="0" collapsed="false">
      <c r="B62" s="8" t="s">
        <v>386</v>
      </c>
      <c r="C62" s="67"/>
      <c r="D62" s="67"/>
      <c r="E62" s="67"/>
      <c r="F62" s="35"/>
    </row>
    <row r="64" customFormat="false" ht="15" hidden="false" customHeight="true" outlineLevel="0" collapsed="false">
      <c r="B64" s="4" t="s">
        <v>387</v>
      </c>
      <c r="C64" s="4"/>
      <c r="D64" s="4"/>
      <c r="E64" s="4"/>
      <c r="F64" s="4"/>
      <c r="G64" s="4"/>
      <c r="H64" s="4"/>
      <c r="I64" s="4"/>
      <c r="J64" s="4"/>
      <c r="K64" s="4"/>
      <c r="L64" s="4"/>
    </row>
  </sheetData>
  <mergeCells count="7">
    <mergeCell ref="B2:L2"/>
    <mergeCell ref="B3:L3"/>
    <mergeCell ref="B5:L5"/>
    <mergeCell ref="B10:F10"/>
    <mergeCell ref="B32:F32"/>
    <mergeCell ref="B54:L54"/>
    <mergeCell ref="B64:L64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LibreOffice/25.2.3.2$Linux_X86_64 LibreOffice_project/520$Build-2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2026-04-09T09:10:52Z</dcterms:created>
  <dc:creator>openpyxl</dc:creator>
  <dc:description/>
  <dc:language>en-US</dc:language>
  <cp:lastModifiedBy/>
  <dcterms:modified xsi:type="dcterms:W3CDTF">2026-04-09T09:28:35Z</dcterms:modified>
  <cp:revision>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